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tabRatio="968" firstSheet="1" activeTab="4"/>
  </bookViews>
  <sheets>
    <sheet name="фін.зв-сть на 01.10 (додаток 2)" sheetId="1" r:id="rId1"/>
    <sheet name="фінплан за вересень (додаток 4)" sheetId="4" r:id="rId2"/>
    <sheet name="зар.плата на 01.10 (додаток 5)" sheetId="3" r:id="rId3"/>
    <sheet name="заборг.на 01.10.(додаток 6)" sheetId="2" r:id="rId4"/>
    <sheet name="зв.на бал. І22(9 міс)(додаток7)" sheetId="5" r:id="rId5"/>
  </sheets>
  <externalReferences>
    <externalReference r:id="rId6"/>
  </externalReferences>
  <definedNames>
    <definedName name="_xlnm._FilterDatabase" localSheetId="3" hidden="1">'заборг.на 01.10.(додаток 6)'!$A$6:$E$29</definedName>
    <definedName name="OLE_LINK1" localSheetId="4">'зв.на бал. І22(9 міс)(додаток7)'!$A$2</definedName>
  </definedNames>
  <calcPr calcId="144525" refMode="R1C1"/>
</workbook>
</file>

<file path=xl/calcChain.xml><?xml version="1.0" encoding="utf-8"?>
<calcChain xmlns="http://schemas.openxmlformats.org/spreadsheetml/2006/main">
  <c r="D46" i="5" l="1"/>
  <c r="C46" i="5"/>
  <c r="D41" i="5"/>
  <c r="C41" i="5"/>
  <c r="D40" i="5"/>
  <c r="D39" i="5"/>
  <c r="C39" i="5"/>
  <c r="C38" i="5"/>
  <c r="D37" i="5"/>
  <c r="C37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B22" i="5"/>
  <c r="D21" i="5"/>
  <c r="C21" i="5"/>
  <c r="B21" i="5"/>
  <c r="D20" i="5"/>
  <c r="C20" i="5"/>
  <c r="B20" i="5"/>
  <c r="A20" i="5"/>
  <c r="D19" i="5"/>
  <c r="C19" i="5"/>
  <c r="B19" i="5"/>
  <c r="A19" i="5"/>
  <c r="D18" i="5"/>
  <c r="C18" i="5"/>
  <c r="B18" i="5"/>
  <c r="A18" i="5"/>
  <c r="D16" i="5"/>
  <c r="C16" i="5"/>
  <c r="D15" i="5"/>
  <c r="C15" i="5"/>
  <c r="D14" i="5"/>
  <c r="C14" i="5"/>
  <c r="D13" i="5"/>
  <c r="C13" i="5"/>
  <c r="D12" i="5"/>
  <c r="C12" i="5"/>
  <c r="D10" i="5"/>
  <c r="C10" i="5"/>
  <c r="D9" i="5"/>
  <c r="C9" i="5"/>
  <c r="E52" i="4"/>
  <c r="D52" i="4"/>
  <c r="H52" i="4" s="1"/>
  <c r="H50" i="4"/>
  <c r="H49" i="4"/>
  <c r="E47" i="4"/>
  <c r="D47" i="4"/>
  <c r="H47" i="4" s="1"/>
  <c r="E46" i="4"/>
  <c r="H46" i="4" s="1"/>
  <c r="E45" i="4"/>
  <c r="D45" i="4"/>
  <c r="H45" i="4" s="1"/>
  <c r="H44" i="4"/>
  <c r="D44" i="4"/>
  <c r="E43" i="4"/>
  <c r="D43" i="4"/>
  <c r="H43" i="4" s="1"/>
  <c r="G42" i="4"/>
  <c r="F42" i="4"/>
  <c r="E42" i="4"/>
  <c r="E41" i="4"/>
  <c r="D41" i="4"/>
  <c r="H41" i="4" s="1"/>
  <c r="E40" i="4"/>
  <c r="D40" i="4"/>
  <c r="H40" i="4" s="1"/>
  <c r="E39" i="4"/>
  <c r="D39" i="4"/>
  <c r="H39" i="4" s="1"/>
  <c r="E38" i="4"/>
  <c r="E37" i="4" s="1"/>
  <c r="D38" i="4"/>
  <c r="H38" i="4" s="1"/>
  <c r="G37" i="4"/>
  <c r="F37" i="4"/>
  <c r="D37" i="4"/>
  <c r="H37" i="4" s="1"/>
  <c r="E36" i="4"/>
  <c r="D36" i="4"/>
  <c r="H36" i="4" s="1"/>
  <c r="E35" i="4"/>
  <c r="D35" i="4"/>
  <c r="H35" i="4" s="1"/>
  <c r="E34" i="4"/>
  <c r="E33" i="4" s="1"/>
  <c r="D34" i="4"/>
  <c r="H34" i="4" s="1"/>
  <c r="G33" i="4"/>
  <c r="F33" i="4"/>
  <c r="D33" i="4"/>
  <c r="H33" i="4" s="1"/>
  <c r="E32" i="4"/>
  <c r="D32" i="4"/>
  <c r="H32" i="4" s="1"/>
  <c r="E31" i="4"/>
  <c r="D31" i="4"/>
  <c r="H31" i="4" s="1"/>
  <c r="E30" i="4"/>
  <c r="E29" i="4" s="1"/>
  <c r="D30" i="4"/>
  <c r="H30" i="4" s="1"/>
  <c r="G29" i="4"/>
  <c r="F29" i="4"/>
  <c r="D29" i="4"/>
  <c r="H29" i="4" s="1"/>
  <c r="E28" i="4"/>
  <c r="D28" i="4"/>
  <c r="H28" i="4" s="1"/>
  <c r="E27" i="4"/>
  <c r="D27" i="4"/>
  <c r="H27" i="4" s="1"/>
  <c r="E26" i="4"/>
  <c r="D26" i="4"/>
  <c r="H26" i="4" s="1"/>
  <c r="E25" i="4"/>
  <c r="D25" i="4"/>
  <c r="H25" i="4" s="1"/>
  <c r="E24" i="4"/>
  <c r="E23" i="4" s="1"/>
  <c r="D24" i="4"/>
  <c r="H24" i="4" s="1"/>
  <c r="G23" i="4"/>
  <c r="F23" i="4"/>
  <c r="E22" i="4"/>
  <c r="D22" i="4"/>
  <c r="H22" i="4" s="1"/>
  <c r="E21" i="4"/>
  <c r="D21" i="4"/>
  <c r="H21" i="4" s="1"/>
  <c r="E20" i="4"/>
  <c r="D20" i="4"/>
  <c r="H20" i="4" s="1"/>
  <c r="E19" i="4"/>
  <c r="D19" i="4"/>
  <c r="H19" i="4" s="1"/>
  <c r="E18" i="4"/>
  <c r="D18" i="4"/>
  <c r="H18" i="4" s="1"/>
  <c r="H17" i="4"/>
  <c r="E16" i="4"/>
  <c r="E15" i="4" s="1"/>
  <c r="E48" i="4" s="1"/>
  <c r="D16" i="4"/>
  <c r="H16" i="4" s="1"/>
  <c r="G15" i="4"/>
  <c r="G48" i="4" s="1"/>
  <c r="F15" i="4"/>
  <c r="F48" i="4" s="1"/>
  <c r="D15" i="4"/>
  <c r="H15" i="4" s="1"/>
  <c r="E37" i="3"/>
  <c r="F36" i="3"/>
  <c r="E36" i="3"/>
  <c r="E35" i="3"/>
  <c r="F34" i="3"/>
  <c r="E34" i="3"/>
  <c r="H33" i="3"/>
  <c r="G33" i="3"/>
  <c r="F33" i="3"/>
  <c r="E33" i="3"/>
  <c r="F32" i="3"/>
  <c r="E32" i="3"/>
  <c r="H31" i="3"/>
  <c r="G31" i="3"/>
  <c r="F31" i="3"/>
  <c r="E31" i="3"/>
  <c r="F29" i="3"/>
  <c r="E29" i="3"/>
  <c r="F28" i="3"/>
  <c r="E28" i="3"/>
  <c r="F27" i="3"/>
  <c r="E27" i="3"/>
  <c r="F26" i="3"/>
  <c r="E26" i="3"/>
  <c r="H25" i="3"/>
  <c r="G25" i="3"/>
  <c r="F25" i="3"/>
  <c r="E25" i="3"/>
  <c r="F24" i="3"/>
  <c r="E24" i="3"/>
  <c r="H23" i="3"/>
  <c r="G23" i="3"/>
  <c r="F23" i="3"/>
  <c r="E23" i="3"/>
  <c r="H22" i="3"/>
  <c r="G22" i="3"/>
  <c r="F22" i="3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E46" i="2"/>
  <c r="D46" i="2"/>
  <c r="A44" i="2"/>
  <c r="A45" i="2" s="1"/>
  <c r="E40" i="2"/>
  <c r="E48" i="2" s="1"/>
  <c r="D40" i="2"/>
  <c r="D48" i="2" s="1"/>
  <c r="A33" i="2"/>
  <c r="A34" i="2" s="1"/>
  <c r="A35" i="2" s="1"/>
  <c r="A36" i="2" s="1"/>
  <c r="A37" i="2" s="1"/>
  <c r="A38" i="2" s="1"/>
  <c r="A39" i="2" s="1"/>
  <c r="E29" i="2"/>
  <c r="D29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C36" i="5" l="1"/>
  <c r="C17" i="5" s="1"/>
  <c r="C42" i="5" s="1"/>
  <c r="D36" i="5"/>
  <c r="D42" i="4"/>
  <c r="D17" i="5" l="1"/>
  <c r="D23" i="4"/>
  <c r="H42" i="4"/>
  <c r="D42" i="5" l="1"/>
  <c r="H23" i="4"/>
  <c r="D48" i="4"/>
  <c r="H48" i="4" s="1"/>
</calcChain>
</file>

<file path=xl/sharedStrings.xml><?xml version="1.0" encoding="utf-8"?>
<sst xmlns="http://schemas.openxmlformats.org/spreadsheetml/2006/main" count="479" uniqueCount="355">
  <si>
    <t>Додаток 2
до Національного положення (стандарту) бухгалтерського обліку 25 "Спрощена фінансова звітність"
(пункт 4 розділу I)</t>
  </si>
  <si>
    <t>Фінансова звітність мікропідприємства</t>
  </si>
  <si>
    <t>КОДИ</t>
  </si>
  <si>
    <t>Дата (рік, місяць, число)</t>
  </si>
  <si>
    <t>2022</t>
  </si>
  <si>
    <t>04</t>
  </si>
  <si>
    <t>01</t>
  </si>
  <si>
    <t>Підприємство</t>
  </si>
  <si>
    <t>Комунальне книготорговельне підприємство "Кобзар"</t>
  </si>
  <si>
    <t>за ЄДРПОУ</t>
  </si>
  <si>
    <t>19296144</t>
  </si>
  <si>
    <t>Територія</t>
  </si>
  <si>
    <t>Миколаївська</t>
  </si>
  <si>
    <t>за КОАТУУ</t>
  </si>
  <si>
    <t>4810800000</t>
  </si>
  <si>
    <t>Організаційно-правова
форма господарювання</t>
  </si>
  <si>
    <t>Комунальне підприємство</t>
  </si>
  <si>
    <t>за КОПФГ</t>
  </si>
  <si>
    <t>150</t>
  </si>
  <si>
    <t>Вид економічної діяльності</t>
  </si>
  <si>
    <t>Роздрібна торгівля книгами в спеціалізованих магазинах</t>
  </si>
  <si>
    <t>за КВЕД</t>
  </si>
  <si>
    <t>47.61</t>
  </si>
  <si>
    <t>Середня кількість працівників, осіб</t>
  </si>
  <si>
    <t>4</t>
  </si>
  <si>
    <t>Одиниця виміру: тис. грн. з одним десятковим знаком</t>
  </si>
  <si>
    <t>Адреса, телефон пр.Соборності, буд. 5, м.Южноукраїнськ, Миколаївська обл.</t>
  </si>
  <si>
    <t>1. Баланс</t>
  </si>
  <si>
    <t>Форма N 1-мc</t>
  </si>
  <si>
    <t xml:space="preserve">Код за ДКУД </t>
  </si>
  <si>
    <t>на 30 вересня 2022 р.</t>
  </si>
  <si>
    <t>Актив</t>
  </si>
  <si>
    <t>Код
рядка</t>
  </si>
  <si>
    <t>На початок звітного року</t>
  </si>
  <si>
    <t>На кінець звітного 
періоду</t>
  </si>
  <si>
    <t>2</t>
  </si>
  <si>
    <t>I. Необоротні активи</t>
  </si>
  <si>
    <t>Основні засоби:</t>
  </si>
  <si>
    <t>1010</t>
  </si>
  <si>
    <t>первісна вартість</t>
  </si>
  <si>
    <t>1011</t>
  </si>
  <si>
    <t>знос</t>
  </si>
  <si>
    <t>1012</t>
  </si>
  <si>
    <t>(        370,7         )</t>
  </si>
  <si>
    <t>(    604,0   )</t>
  </si>
  <si>
    <t>Інші необоротні активи</t>
  </si>
  <si>
    <t>1090</t>
  </si>
  <si>
    <t>Усього за розділом I</t>
  </si>
  <si>
    <t>1095</t>
  </si>
  <si>
    <t>II. Оборотні активи</t>
  </si>
  <si>
    <t>Запаси</t>
  </si>
  <si>
    <t>1100</t>
  </si>
  <si>
    <t>Поточна дебіторська заборгованість</t>
  </si>
  <si>
    <t>1155</t>
  </si>
  <si>
    <t>Гроші та їх еквіваленти</t>
  </si>
  <si>
    <t>1165</t>
  </si>
  <si>
    <t>Інші оборотні активи</t>
  </si>
  <si>
    <t>1190</t>
  </si>
  <si>
    <t>Усього за розділом II</t>
  </si>
  <si>
    <t>1195</t>
  </si>
  <si>
    <t>Баланс</t>
  </si>
  <si>
    <t>1300</t>
  </si>
  <si>
    <t>Пасив</t>
  </si>
  <si>
    <t>I. Власний капітал</t>
  </si>
  <si>
    <t>Капітал</t>
  </si>
  <si>
    <t>1400</t>
  </si>
  <si>
    <t>Нерозподілений прибуток (непокритий збиток)</t>
  </si>
  <si>
    <t>1420</t>
  </si>
  <si>
    <t>Неоплачений капітал</t>
  </si>
  <si>
    <t>1425</t>
  </si>
  <si>
    <t>()</t>
  </si>
  <si>
    <t>1495</t>
  </si>
  <si>
    <t>II. Довгострокові зобов'язання, цільове фінансування та 
забезпечення</t>
  </si>
  <si>
    <t>1595</t>
  </si>
  <si>
    <t>III. Поточні зобов'язання</t>
  </si>
  <si>
    <t>Короткострокові кредити банків</t>
  </si>
  <si>
    <t>1600</t>
  </si>
  <si>
    <t>Поточна кредиторська заборгованість за:</t>
  </si>
  <si>
    <t>товари, роботи, послуги</t>
  </si>
  <si>
    <t>1615</t>
  </si>
  <si>
    <t>розрахунками з бюджетом</t>
  </si>
  <si>
    <t>1620</t>
  </si>
  <si>
    <t>розрахунками зі страхування</t>
  </si>
  <si>
    <t>1625</t>
  </si>
  <si>
    <t>розрахунками з оплати праці</t>
  </si>
  <si>
    <t>1630</t>
  </si>
  <si>
    <t>Інші поточні зобов'язання</t>
  </si>
  <si>
    <t>1690</t>
  </si>
  <si>
    <t>Усього за розділом IІІ</t>
  </si>
  <si>
    <t>1695</t>
  </si>
  <si>
    <t>1900</t>
  </si>
  <si>
    <t>2. Звіт про фінансові результати</t>
  </si>
  <si>
    <r>
      <t>за 9 місяців  2022 р.</t>
    </r>
    <r>
      <rPr>
        <sz val="10"/>
        <rFont val="Times New Roman"/>
        <family val="1"/>
        <charset val="204"/>
      </rPr>
      <t xml:space="preserve"> </t>
    </r>
  </si>
  <si>
    <t xml:space="preserve">Форма N 2-мс </t>
  </si>
  <si>
    <t>Код за ДКУД  </t>
  </si>
  <si>
    <t>Стаття</t>
  </si>
  <si>
    <t>За звітний період</t>
  </si>
  <si>
    <t xml:space="preserve">За попередній 
період </t>
  </si>
  <si>
    <t>3</t>
  </si>
  <si>
    <t>Чистий дохід від реалізації продукції (товарів, робіт, послуг)</t>
  </si>
  <si>
    <t>2000</t>
  </si>
  <si>
    <t>Інші доходи</t>
  </si>
  <si>
    <t>2160</t>
  </si>
  <si>
    <r>
      <rPr>
        <b/>
        <sz val="10"/>
        <rFont val="Times New Roman"/>
        <family val="1"/>
        <charset val="204"/>
      </rPr>
      <t xml:space="preserve">Разом доходи </t>
    </r>
    <r>
      <rPr>
        <sz val="10"/>
        <rFont val="Times New Roman"/>
        <family val="1"/>
        <charset val="204"/>
      </rPr>
      <t>(2000 + 2160)</t>
    </r>
  </si>
  <si>
    <t>2280</t>
  </si>
  <si>
    <t>Собівартість реалізованої продукції (товарів, робіт, послуг)</t>
  </si>
  <si>
    <t>2050</t>
  </si>
  <si>
    <t>(            1436,9               )</t>
  </si>
  <si>
    <t>(          669,3            )</t>
  </si>
  <si>
    <t>Інші витрати</t>
  </si>
  <si>
    <t>2165</t>
  </si>
  <si>
    <t>(             951,8                 )</t>
  </si>
  <si>
    <t>(          503,0            )</t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</si>
  <si>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+ 2165)</t>
    </r>
  </si>
  <si>
    <t>2285</t>
  </si>
  <si>
    <t>(        2388,7       )</t>
  </si>
  <si>
    <t>(    1172,3      )</t>
  </si>
  <si>
    <t>Фінансовий результат до оподаткування (2280 - 2285)</t>
  </si>
  <si>
    <t>2290</t>
  </si>
  <si>
    <t>183,5</t>
  </si>
  <si>
    <t>(      6,6       )</t>
  </si>
  <si>
    <t>Податок на прибуток</t>
  </si>
  <si>
    <t>2300</t>
  </si>
  <si>
    <t>(              14,4                  )</t>
  </si>
  <si>
    <t>(             36,0            )</t>
  </si>
  <si>
    <t>Витрати (доходи), які зменшують (збільшують) фінансовий результат після оподаткування</t>
  </si>
  <si>
    <t>2310</t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</si>
  <si>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(2290 - 2300 - (+) 2310)</t>
    </r>
  </si>
  <si>
    <t>2350</t>
  </si>
  <si>
    <t>169,1</t>
  </si>
  <si>
    <t>(        42,6        )</t>
  </si>
  <si>
    <t>Керівник</t>
  </si>
  <si>
    <t>Ірина Бережная</t>
  </si>
  <si>
    <t>(підпис)</t>
  </si>
  <si>
    <t>(ініціали, прізвище)</t>
  </si>
  <si>
    <t>Головний бухгалтер</t>
  </si>
  <si>
    <t>Валентина Бондаренко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</si>
  <si>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</si>
  <si>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№ 6</t>
  </si>
  <si>
    <t xml:space="preserve">до рішення виконавчого комітету </t>
  </si>
  <si>
    <t>Южноукраїнської міської ради</t>
  </si>
  <si>
    <t xml:space="preserve"> </t>
  </si>
  <si>
    <t>від 27.01.2016 р. №04</t>
  </si>
  <si>
    <t>Звіт про  дебіторську</t>
  </si>
  <si>
    <t>та кредиторську  заборгованості  ККПТ  "КОБЗАР"</t>
  </si>
  <si>
    <t>станом на 01.10.2022  року</t>
  </si>
  <si>
    <t>тис.грн</t>
  </si>
  <si>
    <t>№ п/п</t>
  </si>
  <si>
    <t>Дебітори/кредитори</t>
  </si>
  <si>
    <t xml:space="preserve">Призначення платежу </t>
  </si>
  <si>
    <t>Сума заборгованості</t>
  </si>
  <si>
    <t>Всього</t>
  </si>
  <si>
    <t>в т.ч. прострочена</t>
  </si>
  <si>
    <t>Дебіторська заборгованність*</t>
  </si>
  <si>
    <t>КП "ТВКГ"</t>
  </si>
  <si>
    <t>канцтовари</t>
  </si>
  <si>
    <t>ТОВ "Гранд інвест сервіс"</t>
  </si>
  <si>
    <t>ПАТ "Державний ощадний банк України"</t>
  </si>
  <si>
    <t xml:space="preserve">оренда </t>
  </si>
  <si>
    <t>ПП "Артлайн"</t>
  </si>
  <si>
    <t>оренда, експлуатаційні витрати</t>
  </si>
  <si>
    <t>ФОП Ретюнських Р.В.</t>
  </si>
  <si>
    <t>оренда</t>
  </si>
  <si>
    <t>Виконавчий комітет ЮМР</t>
  </si>
  <si>
    <t xml:space="preserve">КП СКГ </t>
  </si>
  <si>
    <t>ТОВ "АРТ-ПРОМ"</t>
  </si>
  <si>
    <t>меблі</t>
  </si>
  <si>
    <t>ТОВ ЮСК</t>
  </si>
  <si>
    <t>ПП "Камертон"</t>
  </si>
  <si>
    <t>іграшки</t>
  </si>
  <si>
    <t>ТОВ "ВГ "КМ-Букс"</t>
  </si>
  <si>
    <t>література</t>
  </si>
  <si>
    <t>ТОВ "ВД "Пегас"</t>
  </si>
  <si>
    <t>дитячі книги</t>
  </si>
  <si>
    <t>ТОВ "НВП "Фактор"</t>
  </si>
  <si>
    <t>книги</t>
  </si>
  <si>
    <t>ТОВ "Папірус Універсал"</t>
  </si>
  <si>
    <t>ФОП Большакова І.О.</t>
  </si>
  <si>
    <t>господпрські товари</t>
  </si>
  <si>
    <t>ФОП Георгієва Н.Д.</t>
  </si>
  <si>
    <t>Всього дебіторська заборгованість</t>
  </si>
  <si>
    <t>Кредиторська заборгованість**</t>
  </si>
  <si>
    <t>ТОВ "Зумерс"</t>
  </si>
  <si>
    <t>ФОП Яровий Я.О.</t>
  </si>
  <si>
    <t>сумки</t>
  </si>
  <si>
    <t>КП ЖЕО</t>
  </si>
  <si>
    <t>вивіз сміття</t>
  </si>
  <si>
    <t>КП ТВКГ</t>
  </si>
  <si>
    <t>водопостачання, водовідведення</t>
  </si>
  <si>
    <t>РГ Підручники і посібники</t>
  </si>
  <si>
    <t>ТОВ "Восток"</t>
  </si>
  <si>
    <t>інтернет</t>
  </si>
  <si>
    <t>ФОП Грошкін Д.О.</t>
  </si>
  <si>
    <t>перевезення вантажів</t>
  </si>
  <si>
    <t>ПП Тимчинський О.Т.</t>
  </si>
  <si>
    <t>обслуговування РРО</t>
  </si>
  <si>
    <t>Всього кредиторська заборгованість</t>
  </si>
  <si>
    <t>Поточні зобов'язання</t>
  </si>
  <si>
    <t>З оплати праці</t>
  </si>
  <si>
    <t>Зарплата вересень 2022 р.</t>
  </si>
  <si>
    <t>Зі страхування</t>
  </si>
  <si>
    <t>Єдиний внесок за вересень 2022 р.</t>
  </si>
  <si>
    <t>З бюджетом</t>
  </si>
  <si>
    <t>Всього поточні зобовязання:</t>
  </si>
  <si>
    <t>Разом:</t>
  </si>
  <si>
    <t>Дебіторська заборгованість на 01.10.2021 року становить 66,4 тис. грн.</t>
  </si>
  <si>
    <t>-</t>
  </si>
  <si>
    <t>за товари, роботи,  послуги - 0,9 тис. грн.</t>
  </si>
  <si>
    <t>з орендної плати -65,5 тис. грн.</t>
  </si>
  <si>
    <t>**</t>
  </si>
  <si>
    <t>Кредиторська заборгованість на 01.10.2021 року становить:</t>
  </si>
  <si>
    <t>за товари, роботи, послуги - 5,5 тис. грн.</t>
  </si>
  <si>
    <t>з оплати праці - 12,9 тис. грн.</t>
  </si>
  <si>
    <t>зі страхування - 6,9 тис. грн.</t>
  </si>
  <si>
    <t>з бюджетом - 211,3 тис. грн.</t>
  </si>
  <si>
    <t xml:space="preserve">В.о.директора ККТП "Кобзар"                                                                                     </t>
  </si>
  <si>
    <t>Ірина БЕРЕЖНАЯ</t>
  </si>
  <si>
    <t>Головний бухгалтер ККТП "Кобзар"</t>
  </si>
  <si>
    <t>Валентина БОНДАРЕНКО</t>
  </si>
  <si>
    <t>Додаток №5</t>
  </si>
  <si>
    <t>до рішення виконавчого комітету</t>
  </si>
  <si>
    <t>від 27.01.2016 р.№04</t>
  </si>
  <si>
    <t>Звіт  щодо фактичного використання коштів на заробітну плату</t>
  </si>
  <si>
    <t xml:space="preserve"> ККТП " КОБЗАР"  за вересень 2022 р. </t>
  </si>
  <si>
    <t xml:space="preserve">тис. грн </t>
  </si>
  <si>
    <t>№ з/п</t>
  </si>
  <si>
    <t>Показники</t>
  </si>
  <si>
    <t>План на 2022</t>
  </si>
  <si>
    <t xml:space="preserve">Звітний період з початку року </t>
  </si>
  <si>
    <t>Звітний місяць</t>
  </si>
  <si>
    <t>план</t>
  </si>
  <si>
    <t>факт</t>
  </si>
  <si>
    <t xml:space="preserve">Фонд оплати праці , всього, в т ч </t>
  </si>
  <si>
    <t>1.1</t>
  </si>
  <si>
    <t>Основна заробітна плата</t>
  </si>
  <si>
    <t>1.2</t>
  </si>
  <si>
    <t>Додаткова заробітна плата з неї:</t>
  </si>
  <si>
    <t>1.2.1</t>
  </si>
  <si>
    <t>Доплати</t>
  </si>
  <si>
    <t>1.2.2</t>
  </si>
  <si>
    <t>Надбавки</t>
  </si>
  <si>
    <t>1.2.3</t>
  </si>
  <si>
    <t>Премії, винагороди</t>
  </si>
  <si>
    <t>1.2.4</t>
  </si>
  <si>
    <t>Оплата за невідпрацьований час</t>
  </si>
  <si>
    <t>1.3</t>
  </si>
  <si>
    <t>Інші заохочувальні виплати</t>
  </si>
  <si>
    <t xml:space="preserve">Фонд оплати праці  АУП в т ч </t>
  </si>
  <si>
    <t>2.1.</t>
  </si>
  <si>
    <t>2.2.</t>
  </si>
  <si>
    <t>2.2.1</t>
  </si>
  <si>
    <t>2.2.2</t>
  </si>
  <si>
    <t>2.2.3</t>
  </si>
  <si>
    <t>2.2.4</t>
  </si>
  <si>
    <t>2.3</t>
  </si>
  <si>
    <t xml:space="preserve">Фонд оплати праці основних працівників в т ч </t>
  </si>
  <si>
    <t>3.1</t>
  </si>
  <si>
    <t>3.2</t>
  </si>
  <si>
    <t>3.2.1</t>
  </si>
  <si>
    <t>3.2.2</t>
  </si>
  <si>
    <t>3.2.3</t>
  </si>
  <si>
    <t>3.2.4</t>
  </si>
  <si>
    <t>3.3</t>
  </si>
  <si>
    <t>Чисельність працівників, в т.ч.</t>
  </si>
  <si>
    <t>4.1</t>
  </si>
  <si>
    <t>АУП</t>
  </si>
  <si>
    <t>4.2</t>
  </si>
  <si>
    <t>Основні працівники</t>
  </si>
  <si>
    <t>Додаток № 4</t>
  </si>
  <si>
    <t>від 27.01.2016 №04</t>
  </si>
  <si>
    <t>Звіт  про  фактичне виконання фінансового плану</t>
  </si>
  <si>
    <t xml:space="preserve"> ККТП "КОБЗАР" за вересень 2022 року</t>
  </si>
  <si>
    <t>План на 2022 рік</t>
  </si>
  <si>
    <t>Звітний період з початку року</t>
  </si>
  <si>
    <t>Очікуване виконання до кінця року</t>
  </si>
  <si>
    <t>Доходи, всього,</t>
  </si>
  <si>
    <t>1.1.</t>
  </si>
  <si>
    <t>Доход від продажу товарів</t>
  </si>
  <si>
    <t>1.2.</t>
  </si>
  <si>
    <t>Комісійна винагорода за адміністрування роботи Револьверного фонду</t>
  </si>
  <si>
    <t>1.3.</t>
  </si>
  <si>
    <t>Амортизація безкоштовно отриманих основних засобів</t>
  </si>
  <si>
    <t>1.4.</t>
  </si>
  <si>
    <t>Дохід від оренди (Ощадбанк)</t>
  </si>
  <si>
    <t>1.5.</t>
  </si>
  <si>
    <t>Дохід від оренди (ПП Артлайн)</t>
  </si>
  <si>
    <t>1.6.</t>
  </si>
  <si>
    <t>Відшкодування витрат на утримання орендованого майна (ПП Артлайн)</t>
  </si>
  <si>
    <t>1.7.</t>
  </si>
  <si>
    <t>Відшкодування плати за землю (ПП Артлайн)</t>
  </si>
  <si>
    <t>2.</t>
  </si>
  <si>
    <t>Витрати, всього</t>
  </si>
  <si>
    <t>Заробітна плата</t>
  </si>
  <si>
    <t>Єдиний соціальний внесок 22 %</t>
  </si>
  <si>
    <t>2.3.</t>
  </si>
  <si>
    <t>Собівартість реалізованих товарів</t>
  </si>
  <si>
    <t>2.5.</t>
  </si>
  <si>
    <t xml:space="preserve">Матеріали </t>
  </si>
  <si>
    <t>2.6.</t>
  </si>
  <si>
    <t>Транспортні послуги</t>
  </si>
  <si>
    <t>2.7.</t>
  </si>
  <si>
    <t xml:space="preserve">Амортизація основних засобів </t>
  </si>
  <si>
    <t>2.7.1.</t>
  </si>
  <si>
    <t>власних основних  засобів</t>
  </si>
  <si>
    <t>2.7.2.</t>
  </si>
  <si>
    <t>безкоштовно отриманих основних засобів</t>
  </si>
  <si>
    <t>2.8.</t>
  </si>
  <si>
    <t xml:space="preserve">Поточний ремонт </t>
  </si>
  <si>
    <t>2.9.</t>
  </si>
  <si>
    <t xml:space="preserve">Комунальні послуги </t>
  </si>
  <si>
    <t>2.9.1.</t>
  </si>
  <si>
    <t>електроенергія</t>
  </si>
  <si>
    <t>2.9.2.</t>
  </si>
  <si>
    <t>тепло; водопостачання, водовідведення</t>
  </si>
  <si>
    <t>2.10.</t>
  </si>
  <si>
    <t>Послуги зв’язку</t>
  </si>
  <si>
    <t>2.11.</t>
  </si>
  <si>
    <t xml:space="preserve">Послуги сторонніх організацій </t>
  </si>
  <si>
    <t>2.11.2.</t>
  </si>
  <si>
    <t>Обслуговування РРО та налаштування торгового обладнання</t>
  </si>
  <si>
    <t>2.11.3.</t>
  </si>
  <si>
    <t>КП "ЖЕО"  (вивіз сміття)</t>
  </si>
  <si>
    <t>2.11.4.</t>
  </si>
  <si>
    <t>Обслуговування орг.техніки</t>
  </si>
  <si>
    <t>2.11.5.</t>
  </si>
  <si>
    <t>Обслуговування програмного забезпечення М.Е.Док</t>
  </si>
  <si>
    <t>2.12.</t>
  </si>
  <si>
    <t>2.12.1.</t>
  </si>
  <si>
    <t xml:space="preserve">Плата за землю </t>
  </si>
  <si>
    <t>2.12.2.</t>
  </si>
  <si>
    <t>Поштові витрати (марки)</t>
  </si>
  <si>
    <t>2.12.3.</t>
  </si>
  <si>
    <t>Послуги банка</t>
  </si>
  <si>
    <t>2.12.4.</t>
  </si>
  <si>
    <t xml:space="preserve">Витрати на відрядження </t>
  </si>
  <si>
    <t>2.12.5.</t>
  </si>
  <si>
    <t xml:space="preserve">Інші витрати </t>
  </si>
  <si>
    <t>3.</t>
  </si>
  <si>
    <t>Фінансовий результат оподаткування</t>
  </si>
  <si>
    <t>4.</t>
  </si>
  <si>
    <t>Дотація з міського бюджету</t>
  </si>
  <si>
    <t>5.</t>
  </si>
  <si>
    <t xml:space="preserve">Фінансовий результат з врахуванням дотації </t>
  </si>
  <si>
    <t>6.</t>
  </si>
  <si>
    <t>Сплата податку на прибуток</t>
  </si>
  <si>
    <t>7.</t>
  </si>
  <si>
    <t xml:space="preserve">Придбання основних засобів, всього, </t>
  </si>
  <si>
    <t>в т.ч. в розрізі основних засобів</t>
  </si>
  <si>
    <t>В.о.директора ККТП "Кобзар"</t>
  </si>
  <si>
    <t>Звіт     ККТП "КОБЗАР" за січень-вересень 2022 року</t>
  </si>
  <si>
    <t>Виконання фінансового плану за січень-вересень 2022 року</t>
  </si>
  <si>
    <t>План</t>
  </si>
  <si>
    <t>Факт</t>
  </si>
  <si>
    <t>2.11.1</t>
  </si>
  <si>
    <t>Обсл.РРО та налаштування торгового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</si>
</sst>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</cellStyleXfs>
  <cellXfs count="514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/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49" fontId="1" fillId="0" borderId="1" xfId="0" applyNumberFormat="1" applyFont="1" applyBorder="1" applyAlignment="1"/>
    <xf numFmtId="49" fontId="1" fillId="0" borderId="0" xfId="0" applyNumberFormat="1" applyFont="1" applyAlignment="1">
      <alignment horizontal="center"/>
    </xf>
    <xf numFmtId="0" fontId="1" fillId="0" borderId="0" xfId="1" applyFont="1" applyFill="1"/>
    <xf numFmtId="164" fontId="1" fillId="0" borderId="0" xfId="1" applyNumberFormat="1" applyFont="1" applyFill="1"/>
    <xf numFmtId="0" fontId="9" fillId="0" borderId="0" xfId="1" applyFill="1"/>
    <xf numFmtId="0" fontId="1" fillId="0" borderId="0" xfId="2" applyFont="1" applyFill="1"/>
    <xf numFmtId="164" fontId="1" fillId="0" borderId="0" xfId="2" applyNumberFormat="1" applyFont="1" applyFill="1"/>
    <xf numFmtId="0" fontId="1" fillId="0" borderId="17" xfId="2" applyFont="1" applyFill="1" applyBorder="1" applyAlignment="1">
      <alignment horizontal="center"/>
    </xf>
    <xf numFmtId="164" fontId="1" fillId="0" borderId="18" xfId="2" applyNumberFormat="1" applyFont="1" applyFill="1" applyBorder="1" applyAlignment="1">
      <alignment horizontal="center"/>
    </xf>
    <xf numFmtId="0" fontId="1" fillId="0" borderId="13" xfId="2" applyFont="1" applyFill="1" applyBorder="1" applyAlignment="1">
      <alignment horizontal="right"/>
    </xf>
    <xf numFmtId="0" fontId="1" fillId="0" borderId="22" xfId="2" applyFont="1" applyFill="1" applyBorder="1" applyAlignment="1">
      <alignment horizontal="left"/>
    </xf>
    <xf numFmtId="0" fontId="1" fillId="0" borderId="22" xfId="2" applyFont="1" applyFill="1" applyBorder="1" applyAlignment="1">
      <alignment horizontal="center"/>
    </xf>
    <xf numFmtId="164" fontId="1" fillId="0" borderId="22" xfId="2" applyNumberFormat="1" applyFont="1" applyFill="1" applyBorder="1" applyAlignment="1">
      <alignment horizontal="right"/>
    </xf>
    <xf numFmtId="164" fontId="1" fillId="0" borderId="15" xfId="2" applyNumberFormat="1" applyFont="1" applyFill="1" applyBorder="1" applyAlignment="1">
      <alignment horizontal="right"/>
    </xf>
    <xf numFmtId="0" fontId="1" fillId="0" borderId="23" xfId="2" applyFont="1" applyFill="1" applyBorder="1" applyAlignment="1">
      <alignment horizontal="right"/>
    </xf>
    <xf numFmtId="0" fontId="1" fillId="0" borderId="24" xfId="2" applyFont="1" applyFill="1" applyBorder="1" applyAlignment="1">
      <alignment horizontal="left"/>
    </xf>
    <xf numFmtId="0" fontId="1" fillId="0" borderId="24" xfId="2" applyFont="1" applyFill="1" applyBorder="1" applyAlignment="1">
      <alignment horizontal="center"/>
    </xf>
    <xf numFmtId="0" fontId="1" fillId="0" borderId="24" xfId="2" applyFont="1" applyFill="1" applyBorder="1" applyAlignment="1">
      <alignment horizontal="right"/>
    </xf>
    <xf numFmtId="164" fontId="1" fillId="0" borderId="25" xfId="2" applyNumberFormat="1" applyFont="1" applyFill="1" applyBorder="1" applyAlignment="1">
      <alignment horizontal="right"/>
    </xf>
    <xf numFmtId="0" fontId="1" fillId="0" borderId="14" xfId="2" applyFont="1" applyFill="1" applyBorder="1" applyAlignment="1">
      <alignment vertical="center" wrapText="1"/>
    </xf>
    <xf numFmtId="0" fontId="1" fillId="0" borderId="14" xfId="2" applyFont="1" applyFill="1" applyBorder="1" applyAlignment="1">
      <alignment horizontal="center" vertical="center" wrapText="1"/>
    </xf>
    <xf numFmtId="164" fontId="1" fillId="0" borderId="14" xfId="1" applyNumberFormat="1" applyFont="1" applyFill="1" applyBorder="1"/>
    <xf numFmtId="164" fontId="1" fillId="0" borderId="15" xfId="2" applyNumberFormat="1" applyFont="1" applyFill="1" applyBorder="1"/>
    <xf numFmtId="0" fontId="1" fillId="0" borderId="26" xfId="2" applyFont="1" applyFill="1" applyBorder="1" applyAlignment="1">
      <alignment horizontal="right" vertical="center"/>
    </xf>
    <xf numFmtId="0" fontId="1" fillId="0" borderId="24" xfId="2" applyFont="1" applyFill="1" applyBorder="1" applyAlignment="1">
      <alignment vertical="center" wrapText="1"/>
    </xf>
    <xf numFmtId="0" fontId="1" fillId="0" borderId="24" xfId="2" applyFont="1" applyFill="1" applyBorder="1" applyAlignment="1">
      <alignment horizontal="center" vertical="center" wrapText="1"/>
    </xf>
    <xf numFmtId="164" fontId="1" fillId="0" borderId="24" xfId="1" applyNumberFormat="1" applyFont="1" applyFill="1" applyBorder="1"/>
    <xf numFmtId="164" fontId="1" fillId="0" borderId="25" xfId="2" applyNumberFormat="1" applyFont="1" applyFill="1" applyBorder="1"/>
    <xf numFmtId="0" fontId="1" fillId="0" borderId="27" xfId="2" applyFont="1" applyFill="1" applyBorder="1" applyAlignment="1">
      <alignment horizontal="right" vertical="center"/>
    </xf>
    <xf numFmtId="0" fontId="1" fillId="0" borderId="2" xfId="2" applyFont="1" applyFill="1" applyBorder="1" applyAlignment="1">
      <alignment vertical="top" wrapText="1"/>
    </xf>
    <xf numFmtId="0" fontId="1" fillId="0" borderId="2" xfId="2" applyFont="1" applyFill="1" applyBorder="1" applyAlignment="1">
      <alignment horizontal="center" vertical="top" wrapText="1"/>
    </xf>
    <xf numFmtId="164" fontId="1" fillId="0" borderId="2" xfId="1" applyNumberFormat="1" applyFont="1" applyFill="1" applyBorder="1"/>
    <xf numFmtId="164" fontId="1" fillId="0" borderId="28" xfId="2" applyNumberFormat="1" applyFont="1" applyFill="1" applyBorder="1"/>
    <xf numFmtId="164" fontId="1" fillId="0" borderId="10" xfId="1" applyNumberFormat="1" applyFont="1" applyFill="1" applyBorder="1"/>
    <xf numFmtId="164" fontId="1" fillId="0" borderId="29" xfId="2" applyNumberFormat="1" applyFont="1" applyFill="1" applyBorder="1"/>
    <xf numFmtId="0" fontId="1" fillId="0" borderId="10" xfId="2" applyFont="1" applyFill="1" applyBorder="1" applyAlignment="1">
      <alignment vertical="top" wrapText="1"/>
    </xf>
    <xf numFmtId="0" fontId="1" fillId="0" borderId="10" xfId="2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vertical="top" wrapText="1"/>
    </xf>
    <xf numFmtId="0" fontId="1" fillId="0" borderId="8" xfId="2" applyFont="1" applyFill="1" applyBorder="1" applyAlignment="1">
      <alignment vertical="top" wrapText="1"/>
    </xf>
    <xf numFmtId="0" fontId="1" fillId="0" borderId="6" xfId="2" applyFont="1" applyFill="1" applyBorder="1" applyAlignment="1">
      <alignment horizontal="center" vertical="top" wrapText="1"/>
    </xf>
    <xf numFmtId="164" fontId="1" fillId="0" borderId="6" xfId="1" applyNumberFormat="1" applyFont="1" applyFill="1" applyBorder="1"/>
    <xf numFmtId="164" fontId="1" fillId="0" borderId="30" xfId="2" applyNumberFormat="1" applyFont="1" applyFill="1" applyBorder="1"/>
    <xf numFmtId="164" fontId="5" fillId="0" borderId="34" xfId="2" applyNumberFormat="1" applyFont="1" applyFill="1" applyBorder="1"/>
    <xf numFmtId="0" fontId="1" fillId="0" borderId="37" xfId="2" applyFont="1" applyFill="1" applyBorder="1" applyAlignment="1">
      <alignment horizontal="right"/>
    </xf>
    <xf numFmtId="0" fontId="1" fillId="0" borderId="2" xfId="2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vertical="top" wrapText="1"/>
    </xf>
    <xf numFmtId="164" fontId="1" fillId="0" borderId="28" xfId="2" applyNumberFormat="1" applyFont="1" applyFill="1" applyBorder="1" applyAlignment="1">
      <alignment vertical="top" wrapText="1"/>
    </xf>
    <xf numFmtId="0" fontId="1" fillId="0" borderId="10" xfId="2" applyFont="1" applyFill="1" applyBorder="1" applyAlignment="1">
      <alignment horizontal="center" vertical="center" wrapText="1"/>
    </xf>
    <xf numFmtId="164" fontId="1" fillId="0" borderId="10" xfId="2" applyNumberFormat="1" applyFont="1" applyFill="1" applyBorder="1" applyAlignment="1">
      <alignment vertical="top" wrapText="1"/>
    </xf>
    <xf numFmtId="164" fontId="1" fillId="0" borderId="29" xfId="2" applyNumberFormat="1" applyFont="1" applyFill="1" applyBorder="1" applyAlignment="1">
      <alignment vertical="top" wrapText="1"/>
    </xf>
    <xf numFmtId="0" fontId="1" fillId="0" borderId="6" xfId="2" applyFont="1" applyFill="1" applyBorder="1" applyAlignment="1">
      <alignment vertical="top" wrapText="1"/>
    </xf>
    <xf numFmtId="0" fontId="1" fillId="0" borderId="6" xfId="2" applyFont="1" applyFill="1" applyBorder="1" applyAlignment="1">
      <alignment horizontal="center" vertical="center" wrapText="1"/>
    </xf>
    <xf numFmtId="164" fontId="1" fillId="0" borderId="6" xfId="2" applyNumberFormat="1" applyFont="1" applyFill="1" applyBorder="1" applyAlignment="1">
      <alignment vertical="top" wrapText="1"/>
    </xf>
    <xf numFmtId="164" fontId="1" fillId="0" borderId="30" xfId="2" applyNumberFormat="1" applyFont="1" applyFill="1" applyBorder="1" applyAlignment="1">
      <alignment vertical="top" wrapText="1"/>
    </xf>
    <xf numFmtId="164" fontId="5" fillId="0" borderId="39" xfId="2" applyNumberFormat="1" applyFont="1" applyFill="1" applyBorder="1"/>
    <xf numFmtId="164" fontId="5" fillId="0" borderId="40" xfId="2" applyNumberFormat="1" applyFont="1" applyFill="1" applyBorder="1"/>
    <xf numFmtId="0" fontId="1" fillId="0" borderId="14" xfId="2" applyFont="1" applyFill="1" applyBorder="1" applyAlignment="1">
      <alignment horizontal="left" vertical="top" wrapText="1"/>
    </xf>
    <xf numFmtId="2" fontId="1" fillId="0" borderId="14" xfId="2" applyNumberFormat="1" applyFont="1" applyFill="1" applyBorder="1"/>
    <xf numFmtId="164" fontId="1" fillId="0" borderId="14" xfId="2" applyNumberFormat="1" applyFont="1" applyFill="1" applyBorder="1"/>
    <xf numFmtId="0" fontId="1" fillId="0" borderId="2" xfId="2" applyFont="1" applyFill="1" applyBorder="1" applyAlignment="1">
      <alignment horizontal="left" vertical="top" wrapText="1"/>
    </xf>
    <xf numFmtId="2" fontId="1" fillId="0" borderId="2" xfId="2" applyNumberFormat="1" applyFont="1" applyFill="1" applyBorder="1"/>
    <xf numFmtId="164" fontId="1" fillId="0" borderId="2" xfId="2" applyNumberFormat="1" applyFont="1" applyFill="1" applyBorder="1"/>
    <xf numFmtId="0" fontId="1" fillId="0" borderId="16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 vertical="top" wrapText="1"/>
    </xf>
    <xf numFmtId="2" fontId="1" fillId="0" borderId="17" xfId="2" applyNumberFormat="1" applyFont="1" applyFill="1" applyBorder="1"/>
    <xf numFmtId="164" fontId="1" fillId="0" borderId="17" xfId="2" applyNumberFormat="1" applyFont="1" applyFill="1" applyBorder="1"/>
    <xf numFmtId="164" fontId="1" fillId="0" borderId="18" xfId="2" applyNumberFormat="1" applyFont="1" applyFill="1" applyBorder="1"/>
    <xf numFmtId="164" fontId="5" fillId="0" borderId="44" xfId="2" applyNumberFormat="1" applyFont="1" applyFill="1" applyBorder="1"/>
    <xf numFmtId="0" fontId="10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/>
    <xf numFmtId="0" fontId="11" fillId="0" borderId="0" xfId="3" applyFill="1"/>
    <xf numFmtId="0" fontId="1" fillId="0" borderId="0" xfId="3" applyFont="1" applyFill="1"/>
    <xf numFmtId="0" fontId="1" fillId="0" borderId="0" xfId="2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3" applyFont="1" applyFill="1" applyAlignment="1">
      <alignment horizontal="left"/>
    </xf>
    <xf numFmtId="49" fontId="1" fillId="0" borderId="49" xfId="3" applyNumberFormat="1" applyFont="1" applyFill="1" applyBorder="1" applyAlignment="1">
      <alignment horizontal="left"/>
    </xf>
    <xf numFmtId="0" fontId="1" fillId="0" borderId="32" xfId="3" applyFont="1" applyFill="1" applyBorder="1"/>
    <xf numFmtId="164" fontId="1" fillId="0" borderId="49" xfId="3" applyNumberFormat="1" applyFont="1" applyFill="1" applyBorder="1"/>
    <xf numFmtId="164" fontId="1" fillId="0" borderId="32" xfId="3" applyNumberFormat="1" applyFont="1" applyFill="1" applyBorder="1"/>
    <xf numFmtId="164" fontId="1" fillId="0" borderId="44" xfId="3" applyNumberFormat="1" applyFont="1" applyFill="1" applyBorder="1"/>
    <xf numFmtId="164" fontId="11" fillId="0" borderId="0" xfId="3" applyNumberFormat="1" applyFill="1"/>
    <xf numFmtId="49" fontId="1" fillId="0" borderId="50" xfId="3" applyNumberFormat="1" applyFont="1" applyFill="1" applyBorder="1" applyAlignment="1">
      <alignment horizontal="left"/>
    </xf>
    <xf numFmtId="0" fontId="1" fillId="0" borderId="51" xfId="3" applyFont="1" applyFill="1" applyBorder="1"/>
    <xf numFmtId="164" fontId="1" fillId="0" borderId="50" xfId="3" applyNumberFormat="1" applyFont="1" applyFill="1" applyBorder="1"/>
    <xf numFmtId="164" fontId="1" fillId="0" borderId="52" xfId="3" applyNumberFormat="1" applyFont="1" applyFill="1" applyBorder="1"/>
    <xf numFmtId="164" fontId="1" fillId="0" borderId="53" xfId="3" applyNumberFormat="1" applyFont="1" applyFill="1" applyBorder="1"/>
    <xf numFmtId="164" fontId="1" fillId="0" borderId="54" xfId="3" applyNumberFormat="1" applyFont="1" applyFill="1" applyBorder="1"/>
    <xf numFmtId="49" fontId="1" fillId="0" borderId="55" xfId="3" applyNumberFormat="1" applyFont="1" applyFill="1" applyBorder="1" applyAlignment="1">
      <alignment horizontal="left"/>
    </xf>
    <xf numFmtId="0" fontId="1" fillId="0" borderId="56" xfId="3" applyFont="1" applyFill="1" applyBorder="1"/>
    <xf numFmtId="164" fontId="1" fillId="0" borderId="55" xfId="3" applyNumberFormat="1" applyFont="1" applyFill="1" applyBorder="1"/>
    <xf numFmtId="164" fontId="1" fillId="0" borderId="57" xfId="3" applyNumberFormat="1" applyFont="1" applyFill="1" applyBorder="1"/>
    <xf numFmtId="164" fontId="1" fillId="0" borderId="58" xfId="3" applyNumberFormat="1" applyFont="1" applyFill="1" applyBorder="1"/>
    <xf numFmtId="49" fontId="1" fillId="0" borderId="59" xfId="3" applyNumberFormat="1" applyFont="1" applyFill="1" applyBorder="1" applyAlignment="1">
      <alignment horizontal="left"/>
    </xf>
    <xf numFmtId="0" fontId="1" fillId="0" borderId="1" xfId="3" applyFont="1" applyFill="1" applyBorder="1"/>
    <xf numFmtId="164" fontId="1" fillId="0" borderId="59" xfId="3" applyNumberFormat="1" applyFont="1" applyFill="1" applyBorder="1"/>
    <xf numFmtId="164" fontId="1" fillId="0" borderId="11" xfId="3" applyNumberFormat="1" applyFont="1" applyFill="1" applyBorder="1"/>
    <xf numFmtId="164" fontId="1" fillId="0" borderId="29" xfId="3" applyNumberFormat="1" applyFont="1" applyFill="1" applyBorder="1"/>
    <xf numFmtId="49" fontId="1" fillId="0" borderId="46" xfId="3" applyNumberFormat="1" applyFont="1" applyFill="1" applyBorder="1" applyAlignment="1">
      <alignment horizontal="left"/>
    </xf>
    <xf numFmtId="0" fontId="1" fillId="0" borderId="4" xfId="3" applyFont="1" applyFill="1" applyBorder="1"/>
    <xf numFmtId="164" fontId="1" fillId="0" borderId="46" xfId="3" applyNumberFormat="1" applyFont="1" applyFill="1" applyBorder="1"/>
    <xf numFmtId="164" fontId="1" fillId="0" borderId="3" xfId="3" applyNumberFormat="1" applyFont="1" applyFill="1" applyBorder="1"/>
    <xf numFmtId="164" fontId="1" fillId="0" borderId="28" xfId="3" applyNumberFormat="1" applyFont="1" applyFill="1" applyBorder="1"/>
    <xf numFmtId="164" fontId="1" fillId="0" borderId="37" xfId="3" applyNumberFormat="1" applyFont="1" applyFill="1" applyBorder="1"/>
    <xf numFmtId="164" fontId="1" fillId="0" borderId="60" xfId="3" applyNumberFormat="1" applyFont="1" applyFill="1" applyBorder="1"/>
    <xf numFmtId="49" fontId="1" fillId="0" borderId="61" xfId="3" applyNumberFormat="1" applyFont="1" applyFill="1" applyBorder="1" applyAlignment="1">
      <alignment horizontal="left"/>
    </xf>
    <xf numFmtId="0" fontId="1" fillId="0" borderId="62" xfId="3" applyFont="1" applyFill="1" applyBorder="1"/>
    <xf numFmtId="164" fontId="1" fillId="0" borderId="61" xfId="3" applyNumberFormat="1" applyFont="1" applyFill="1" applyBorder="1"/>
    <xf numFmtId="164" fontId="1" fillId="0" borderId="63" xfId="3" applyNumberFormat="1" applyFont="1" applyFill="1" applyBorder="1"/>
    <xf numFmtId="164" fontId="1" fillId="0" borderId="64" xfId="3" applyNumberFormat="1" applyFont="1" applyFill="1" applyBorder="1"/>
    <xf numFmtId="49" fontId="1" fillId="0" borderId="65" xfId="3" applyNumberFormat="1" applyFont="1" applyFill="1" applyBorder="1" applyAlignment="1">
      <alignment horizontal="left"/>
    </xf>
    <xf numFmtId="0" fontId="1" fillId="0" borderId="0" xfId="3" applyFont="1" applyFill="1" applyBorder="1"/>
    <xf numFmtId="164" fontId="1" fillId="0" borderId="65" xfId="3" applyNumberFormat="1" applyFont="1" applyFill="1" applyBorder="1" applyAlignment="1">
      <alignment horizontal="right"/>
    </xf>
    <xf numFmtId="164" fontId="1" fillId="0" borderId="66" xfId="3" applyNumberFormat="1" applyFont="1" applyFill="1" applyBorder="1"/>
    <xf numFmtId="164" fontId="1" fillId="0" borderId="25" xfId="3" applyNumberFormat="1" applyFont="1" applyFill="1" applyBorder="1"/>
    <xf numFmtId="0" fontId="1" fillId="0" borderId="32" xfId="3" applyFont="1" applyFill="1" applyBorder="1" applyAlignment="1">
      <alignment horizontal="left"/>
    </xf>
    <xf numFmtId="164" fontId="1" fillId="0" borderId="49" xfId="3" applyNumberFormat="1" applyFont="1" applyFill="1" applyBorder="1" applyAlignment="1">
      <alignment horizontal="right"/>
    </xf>
    <xf numFmtId="164" fontId="1" fillId="0" borderId="67" xfId="3" applyNumberFormat="1" applyFont="1" applyFill="1" applyBorder="1"/>
    <xf numFmtId="0" fontId="1" fillId="0" borderId="51" xfId="3" applyFont="1" applyFill="1" applyBorder="1" applyAlignment="1">
      <alignment horizontal="left"/>
    </xf>
    <xf numFmtId="164" fontId="1" fillId="0" borderId="50" xfId="3" applyNumberFormat="1" applyFont="1" applyFill="1" applyBorder="1" applyAlignment="1">
      <alignment horizontal="right"/>
    </xf>
    <xf numFmtId="164" fontId="1" fillId="0" borderId="68" xfId="3" applyNumberFormat="1" applyFont="1" applyFill="1" applyBorder="1" applyAlignment="1">
      <alignment horizontal="right"/>
    </xf>
    <xf numFmtId="0" fontId="1" fillId="0" borderId="56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164" fontId="1" fillId="0" borderId="59" xfId="3" applyNumberFormat="1" applyFont="1" applyFill="1" applyBorder="1" applyAlignment="1">
      <alignment horizontal="right"/>
    </xf>
    <xf numFmtId="164" fontId="1" fillId="0" borderId="27" xfId="3" applyNumberFormat="1" applyFont="1" applyFill="1" applyBorder="1" applyAlignment="1">
      <alignment horizontal="right"/>
    </xf>
    <xf numFmtId="164" fontId="1" fillId="0" borderId="27" xfId="3" applyNumberFormat="1" applyFont="1" applyFill="1" applyBorder="1"/>
    <xf numFmtId="0" fontId="1" fillId="0" borderId="4" xfId="3" applyFont="1" applyFill="1" applyBorder="1" applyAlignment="1">
      <alignment horizontal="left"/>
    </xf>
    <xf numFmtId="164" fontId="1" fillId="0" borderId="46" xfId="3" applyNumberFormat="1" applyFont="1" applyFill="1" applyBorder="1" applyAlignment="1">
      <alignment horizontal="right"/>
    </xf>
    <xf numFmtId="164" fontId="1" fillId="0" borderId="37" xfId="3" applyNumberFormat="1" applyFont="1" applyFill="1" applyBorder="1" applyAlignment="1">
      <alignment horizontal="right"/>
    </xf>
    <xf numFmtId="0" fontId="1" fillId="0" borderId="62" xfId="3" applyFont="1" applyFill="1" applyBorder="1" applyAlignment="1">
      <alignment horizontal="left"/>
    </xf>
    <xf numFmtId="164" fontId="1" fillId="0" borderId="61" xfId="3" applyNumberFormat="1" applyFont="1" applyFill="1" applyBorder="1" applyAlignment="1">
      <alignment horizontal="right"/>
    </xf>
    <xf numFmtId="164" fontId="1" fillId="0" borderId="69" xfId="3" applyNumberFormat="1" applyFont="1" applyFill="1" applyBorder="1" applyAlignment="1">
      <alignment horizontal="right"/>
    </xf>
    <xf numFmtId="164" fontId="1" fillId="0" borderId="69" xfId="3" applyNumberFormat="1" applyFont="1" applyFill="1" applyBorder="1"/>
    <xf numFmtId="0" fontId="1" fillId="0" borderId="0" xfId="3" applyFont="1" applyFill="1" applyBorder="1" applyAlignment="1">
      <alignment horizontal="left"/>
    </xf>
    <xf numFmtId="164" fontId="1" fillId="0" borderId="23" xfId="3" applyNumberFormat="1" applyFont="1" applyFill="1" applyBorder="1" applyAlignment="1">
      <alignment horizontal="right"/>
    </xf>
    <xf numFmtId="164" fontId="1" fillId="0" borderId="23" xfId="3" applyNumberFormat="1" applyFont="1" applyFill="1" applyBorder="1"/>
    <xf numFmtId="0" fontId="1" fillId="0" borderId="32" xfId="3" applyFont="1" applyFill="1" applyBorder="1" applyAlignment="1">
      <alignment wrapText="1"/>
    </xf>
    <xf numFmtId="164" fontId="1" fillId="0" borderId="70" xfId="3" applyNumberFormat="1" applyFont="1" applyFill="1" applyBorder="1" applyAlignment="1">
      <alignment horizontal="right"/>
    </xf>
    <xf numFmtId="164" fontId="1" fillId="0" borderId="51" xfId="3" applyNumberFormat="1" applyFont="1" applyFill="1" applyBorder="1" applyAlignment="1">
      <alignment horizontal="right"/>
    </xf>
    <xf numFmtId="164" fontId="1" fillId="0" borderId="55" xfId="3" applyNumberFormat="1" applyFont="1" applyFill="1" applyBorder="1" applyAlignment="1">
      <alignment horizontal="right"/>
    </xf>
    <xf numFmtId="164" fontId="1" fillId="0" borderId="57" xfId="3" applyNumberFormat="1" applyFont="1" applyFill="1" applyBorder="1" applyAlignment="1">
      <alignment horizontal="right"/>
    </xf>
    <xf numFmtId="164" fontId="1" fillId="0" borderId="58" xfId="3" applyNumberFormat="1" applyFont="1" applyFill="1" applyBorder="1" applyAlignment="1">
      <alignment horizontal="right"/>
    </xf>
    <xf numFmtId="164" fontId="1" fillId="0" borderId="71" xfId="3" applyNumberFormat="1" applyFont="1" applyFill="1" applyBorder="1" applyAlignment="1">
      <alignment horizontal="right"/>
    </xf>
    <xf numFmtId="164" fontId="1" fillId="0" borderId="72" xfId="3" applyNumberFormat="1" applyFont="1" applyFill="1" applyBorder="1" applyAlignment="1">
      <alignment horizontal="right"/>
    </xf>
    <xf numFmtId="164" fontId="1" fillId="0" borderId="12" xfId="3" applyNumberFormat="1" applyFont="1" applyFill="1" applyBorder="1"/>
    <xf numFmtId="164" fontId="1" fillId="0" borderId="5" xfId="3" applyNumberFormat="1" applyFont="1" applyFill="1" applyBorder="1"/>
    <xf numFmtId="164" fontId="1" fillId="0" borderId="73" xfId="3" applyNumberFormat="1" applyFont="1" applyFill="1" applyBorder="1"/>
    <xf numFmtId="164" fontId="1" fillId="0" borderId="74" xfId="3" applyNumberFormat="1" applyFont="1" applyFill="1" applyBorder="1"/>
    <xf numFmtId="0" fontId="1" fillId="0" borderId="49" xfId="3" applyFont="1" applyFill="1" applyBorder="1" applyAlignment="1">
      <alignment horizontal="justify" vertical="top" wrapText="1"/>
    </xf>
    <xf numFmtId="0" fontId="1" fillId="0" borderId="75" xfId="3" applyFont="1" applyFill="1" applyBorder="1" applyAlignment="1">
      <alignment horizontal="justify" vertical="top" wrapText="1"/>
    </xf>
    <xf numFmtId="0" fontId="11" fillId="0" borderId="49" xfId="3" applyFill="1" applyBorder="1"/>
    <xf numFmtId="0" fontId="11" fillId="0" borderId="76" xfId="3" applyFill="1" applyBorder="1"/>
    <xf numFmtId="0" fontId="11" fillId="0" borderId="44" xfId="3" applyFill="1" applyBorder="1"/>
    <xf numFmtId="0" fontId="11" fillId="0" borderId="33" xfId="3" applyFill="1" applyBorder="1"/>
    <xf numFmtId="49" fontId="1" fillId="0" borderId="59" xfId="3" applyNumberFormat="1" applyFont="1" applyFill="1" applyBorder="1" applyAlignment="1">
      <alignment horizontal="justify" vertical="top" wrapText="1"/>
    </xf>
    <xf numFmtId="0" fontId="1" fillId="0" borderId="77" xfId="3" applyFont="1" applyFill="1" applyBorder="1" applyAlignment="1">
      <alignment horizontal="justify" vertical="top" wrapText="1"/>
    </xf>
    <xf numFmtId="0" fontId="1" fillId="0" borderId="59" xfId="3" applyFont="1" applyFill="1" applyBorder="1"/>
    <xf numFmtId="0" fontId="1" fillId="0" borderId="27" xfId="3" applyFont="1" applyFill="1" applyBorder="1"/>
    <xf numFmtId="0" fontId="1" fillId="0" borderId="29" xfId="3" applyFont="1" applyFill="1" applyBorder="1"/>
    <xf numFmtId="0" fontId="1" fillId="0" borderId="12" xfId="3" applyFont="1" applyFill="1" applyBorder="1"/>
    <xf numFmtId="49" fontId="1" fillId="0" borderId="78" xfId="3" applyNumberFormat="1" applyFont="1" applyFill="1" applyBorder="1" applyAlignment="1">
      <alignment horizontal="justify" vertical="top" wrapText="1"/>
    </xf>
    <xf numFmtId="0" fontId="1" fillId="0" borderId="79" xfId="3" applyFont="1" applyFill="1" applyBorder="1" applyAlignment="1">
      <alignment horizontal="justify" vertical="top" wrapText="1"/>
    </xf>
    <xf numFmtId="0" fontId="1" fillId="0" borderId="78" xfId="3" applyFont="1" applyFill="1" applyBorder="1"/>
    <xf numFmtId="0" fontId="1" fillId="0" borderId="16" xfId="3" applyFont="1" applyFill="1" applyBorder="1"/>
    <xf numFmtId="0" fontId="1" fillId="0" borderId="18" xfId="3" applyFont="1" applyFill="1" applyBorder="1"/>
    <xf numFmtId="0" fontId="1" fillId="0" borderId="80" xfId="3" applyFont="1" applyFill="1" applyBorder="1"/>
    <xf numFmtId="49" fontId="1" fillId="0" borderId="0" xfId="3" applyNumberFormat="1" applyFont="1" applyFill="1" applyBorder="1" applyAlignment="1">
      <alignment horizontal="justify" vertical="top" wrapText="1"/>
    </xf>
    <xf numFmtId="0" fontId="1" fillId="0" borderId="0" xfId="3" applyFont="1" applyFill="1" applyBorder="1" applyAlignment="1">
      <alignment horizontal="justify" vertical="top" wrapText="1"/>
    </xf>
    <xf numFmtId="0" fontId="4" fillId="0" borderId="0" xfId="3" applyFont="1" applyFill="1"/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center"/>
    </xf>
    <xf numFmtId="0" fontId="4" fillId="0" borderId="41" xfId="3" applyFont="1" applyFill="1" applyBorder="1" applyAlignment="1">
      <alignment horizontal="center" vertical="top" wrapText="1"/>
    </xf>
    <xf numFmtId="0" fontId="4" fillId="0" borderId="44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 wrapText="1"/>
    </xf>
    <xf numFmtId="0" fontId="3" fillId="0" borderId="49" xfId="3" applyFont="1" applyFill="1" applyBorder="1" applyAlignment="1">
      <alignment horizontal="center" vertical="top" wrapText="1"/>
    </xf>
    <xf numFmtId="0" fontId="3" fillId="0" borderId="32" xfId="3" applyFont="1" applyFill="1" applyBorder="1" applyAlignment="1">
      <alignment horizontal="justify" vertical="top" wrapText="1"/>
    </xf>
    <xf numFmtId="164" fontId="3" fillId="0" borderId="19" xfId="3" applyNumberFormat="1" applyFont="1" applyFill="1" applyBorder="1" applyAlignment="1">
      <alignment horizontal="center" vertical="center"/>
    </xf>
    <xf numFmtId="164" fontId="3" fillId="0" borderId="31" xfId="3" applyNumberFormat="1" applyFont="1" applyFill="1" applyBorder="1" applyAlignment="1">
      <alignment horizontal="center"/>
    </xf>
    <xf numFmtId="164" fontId="3" fillId="0" borderId="44" xfId="3" applyNumberFormat="1" applyFont="1" applyFill="1" applyBorder="1" applyAlignment="1">
      <alignment horizontal="center"/>
    </xf>
    <xf numFmtId="164" fontId="3" fillId="0" borderId="34" xfId="4" applyNumberFormat="1" applyFont="1" applyFill="1" applyBorder="1" applyAlignment="1">
      <alignment horizontal="center" vertical="center"/>
    </xf>
    <xf numFmtId="164" fontId="3" fillId="0" borderId="49" xfId="3" applyNumberFormat="1" applyFont="1" applyFill="1" applyBorder="1" applyAlignment="1">
      <alignment horizontal="center" vertical="center"/>
    </xf>
    <xf numFmtId="49" fontId="4" fillId="0" borderId="59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/>
    <xf numFmtId="164" fontId="3" fillId="0" borderId="26" xfId="3" applyNumberFormat="1" applyFont="1" applyFill="1" applyBorder="1" applyAlignment="1">
      <alignment horizontal="center" vertical="center"/>
    </xf>
    <xf numFmtId="164" fontId="4" fillId="0" borderId="82" xfId="3" applyNumberFormat="1" applyFont="1" applyFill="1" applyBorder="1" applyAlignment="1">
      <alignment horizontal="center" vertical="center"/>
    </xf>
    <xf numFmtId="164" fontId="4" fillId="0" borderId="15" xfId="3" applyNumberFormat="1" applyFont="1" applyFill="1" applyBorder="1" applyAlignment="1">
      <alignment horizontal="center" vertical="center"/>
    </xf>
    <xf numFmtId="164" fontId="4" fillId="0" borderId="14" xfId="4" applyNumberFormat="1" applyFont="1" applyFill="1" applyBorder="1" applyAlignment="1">
      <alignment horizontal="center" vertical="center"/>
    </xf>
    <xf numFmtId="164" fontId="3" fillId="0" borderId="59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wrapText="1"/>
    </xf>
    <xf numFmtId="164" fontId="4" fillId="0" borderId="26" xfId="3" applyNumberFormat="1" applyFont="1" applyFill="1" applyBorder="1" applyAlignment="1">
      <alignment horizontal="center" vertical="center"/>
    </xf>
    <xf numFmtId="164" fontId="4" fillId="0" borderId="29" xfId="3" applyNumberFormat="1" applyFont="1" applyFill="1" applyBorder="1" applyAlignment="1">
      <alignment horizontal="center" vertical="center"/>
    </xf>
    <xf numFmtId="164" fontId="4" fillId="0" borderId="10" xfId="4" applyNumberFormat="1" applyFont="1" applyFill="1" applyBorder="1" applyAlignment="1">
      <alignment horizontal="center" vertical="center"/>
    </xf>
    <xf numFmtId="49" fontId="4" fillId="0" borderId="46" xfId="3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vertical="top" wrapText="1"/>
    </xf>
    <xf numFmtId="164" fontId="3" fillId="0" borderId="83" xfId="3" applyNumberFormat="1" applyFont="1" applyFill="1" applyBorder="1" applyAlignment="1">
      <alignment horizontal="center" vertical="center"/>
    </xf>
    <xf numFmtId="164" fontId="4" fillId="0" borderId="2" xfId="4" applyNumberFormat="1" applyFont="1" applyFill="1" applyBorder="1" applyAlignment="1">
      <alignment horizontal="center" vertical="center"/>
    </xf>
    <xf numFmtId="164" fontId="3" fillId="0" borderId="46" xfId="3" applyNumberFormat="1" applyFont="1" applyFill="1" applyBorder="1" applyAlignment="1">
      <alignment horizontal="center" vertical="center"/>
    </xf>
    <xf numFmtId="164" fontId="4" fillId="0" borderId="6" xfId="4" applyNumberFormat="1" applyFont="1" applyFill="1" applyBorder="1" applyAlignment="1">
      <alignment horizontal="center" vertical="center"/>
    </xf>
    <xf numFmtId="164" fontId="3" fillId="0" borderId="76" xfId="4" applyNumberFormat="1" applyFont="1" applyFill="1" applyBorder="1" applyAlignment="1">
      <alignment horizontal="center" vertical="center"/>
    </xf>
    <xf numFmtId="164" fontId="3" fillId="0" borderId="49" xfId="3" applyNumberFormat="1" applyFont="1" applyFill="1" applyBorder="1" applyAlignment="1">
      <alignment horizontal="center"/>
    </xf>
    <xf numFmtId="0" fontId="4" fillId="0" borderId="46" xfId="3" applyNumberFormat="1" applyFont="1" applyFill="1" applyBorder="1" applyAlignment="1">
      <alignment horizontal="center" vertical="top" wrapText="1"/>
    </xf>
    <xf numFmtId="0" fontId="4" fillId="0" borderId="4" xfId="3" applyFont="1" applyFill="1" applyBorder="1" applyAlignment="1">
      <alignment horizontal="justify" vertical="top" wrapText="1"/>
    </xf>
    <xf numFmtId="164" fontId="3" fillId="0" borderId="83" xfId="3" applyNumberFormat="1" applyFont="1" applyFill="1" applyBorder="1" applyAlignment="1">
      <alignment horizontal="center"/>
    </xf>
    <xf numFmtId="164" fontId="4" fillId="0" borderId="37" xfId="3" applyNumberFormat="1" applyFont="1" applyFill="1" applyBorder="1" applyAlignment="1">
      <alignment horizontal="center" wrapText="1"/>
    </xf>
    <xf numFmtId="164" fontId="4" fillId="0" borderId="29" xfId="3" applyNumberFormat="1" applyFont="1" applyFill="1" applyBorder="1" applyAlignment="1">
      <alignment horizontal="center" wrapText="1"/>
    </xf>
    <xf numFmtId="164" fontId="3" fillId="0" borderId="46" xfId="3" applyNumberFormat="1" applyFont="1" applyFill="1" applyBorder="1" applyAlignment="1">
      <alignment horizontal="center"/>
    </xf>
    <xf numFmtId="16" fontId="4" fillId="0" borderId="46" xfId="3" applyNumberFormat="1" applyFont="1" applyFill="1" applyBorder="1" applyAlignment="1">
      <alignment horizontal="center" vertical="top" wrapText="1"/>
    </xf>
    <xf numFmtId="164" fontId="3" fillId="0" borderId="83" xfId="3" applyNumberFormat="1" applyFont="1" applyFill="1" applyBorder="1" applyAlignment="1">
      <alignment horizontal="center" wrapText="1"/>
    </xf>
    <xf numFmtId="164" fontId="4" fillId="0" borderId="2" xfId="4" applyNumberFormat="1" applyFont="1" applyFill="1" applyBorder="1" applyAlignment="1">
      <alignment horizontal="center"/>
    </xf>
    <xf numFmtId="49" fontId="4" fillId="0" borderId="46" xfId="3" applyNumberFormat="1" applyFont="1" applyFill="1" applyBorder="1" applyAlignment="1">
      <alignment horizontal="center" vertical="top" wrapText="1"/>
    </xf>
    <xf numFmtId="16" fontId="4" fillId="0" borderId="48" xfId="3" applyNumberFormat="1" applyFont="1" applyFill="1" applyBorder="1" applyAlignment="1">
      <alignment horizontal="center" vertical="top" wrapText="1"/>
    </xf>
    <xf numFmtId="0" fontId="4" fillId="0" borderId="8" xfId="3" applyFont="1" applyFill="1" applyBorder="1" applyAlignment="1">
      <alignment horizontal="justify" vertical="top" wrapText="1"/>
    </xf>
    <xf numFmtId="164" fontId="3" fillId="0" borderId="84" xfId="3" applyNumberFormat="1" applyFont="1" applyFill="1" applyBorder="1" applyAlignment="1">
      <alignment horizontal="center" wrapText="1"/>
    </xf>
    <xf numFmtId="164" fontId="4" fillId="0" borderId="47" xfId="3" applyNumberFormat="1" applyFont="1" applyFill="1" applyBorder="1" applyAlignment="1">
      <alignment horizontal="center" wrapText="1"/>
    </xf>
    <xf numFmtId="164" fontId="4" fillId="0" borderId="25" xfId="3" applyNumberFormat="1" applyFont="1" applyFill="1" applyBorder="1" applyAlignment="1">
      <alignment horizontal="center" wrapText="1"/>
    </xf>
    <xf numFmtId="164" fontId="4" fillId="0" borderId="18" xfId="4" applyNumberFormat="1" applyFont="1" applyFill="1" applyBorder="1" applyAlignment="1">
      <alignment horizontal="center" vertical="center"/>
    </xf>
    <xf numFmtId="16" fontId="4" fillId="0" borderId="49" xfId="3" applyNumberFormat="1" applyFont="1" applyFill="1" applyBorder="1" applyAlignment="1">
      <alignment horizontal="center" vertical="top" wrapText="1"/>
    </xf>
    <xf numFmtId="0" fontId="4" fillId="0" borderId="32" xfId="3" applyFont="1" applyFill="1" applyBorder="1" applyAlignment="1">
      <alignment vertical="top" wrapText="1"/>
    </xf>
    <xf numFmtId="164" fontId="4" fillId="0" borderId="76" xfId="3" applyNumberFormat="1" applyFont="1" applyFill="1" applyBorder="1" applyAlignment="1">
      <alignment horizontal="center" wrapText="1"/>
    </xf>
    <xf numFmtId="164" fontId="4" fillId="0" borderId="44" xfId="3" applyNumberFormat="1" applyFont="1" applyFill="1" applyBorder="1" applyAlignment="1">
      <alignment horizontal="center" wrapText="1"/>
    </xf>
    <xf numFmtId="164" fontId="4" fillId="0" borderId="76" xfId="4" applyNumberFormat="1" applyFont="1" applyFill="1" applyBorder="1" applyAlignment="1">
      <alignment horizontal="center" vertical="center"/>
    </xf>
    <xf numFmtId="164" fontId="4" fillId="0" borderId="40" xfId="3" applyNumberFormat="1" applyFont="1" applyFill="1" applyBorder="1" applyAlignment="1">
      <alignment horizontal="center"/>
    </xf>
    <xf numFmtId="0" fontId="4" fillId="0" borderId="59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justify" vertical="top" wrapText="1"/>
    </xf>
    <xf numFmtId="164" fontId="3" fillId="0" borderId="26" xfId="3" applyNumberFormat="1" applyFont="1" applyFill="1" applyBorder="1" applyAlignment="1">
      <alignment horizontal="center" wrapText="1"/>
    </xf>
    <xf numFmtId="164" fontId="4" fillId="0" borderId="27" xfId="3" applyNumberFormat="1" applyFont="1" applyFill="1" applyBorder="1" applyAlignment="1">
      <alignment horizontal="center" wrapText="1"/>
    </xf>
    <xf numFmtId="164" fontId="4" fillId="0" borderId="11" xfId="3" applyNumberFormat="1" applyFont="1" applyFill="1" applyBorder="1" applyAlignment="1">
      <alignment horizontal="center" wrapText="1"/>
    </xf>
    <xf numFmtId="164" fontId="4" fillId="0" borderId="13" xfId="4" applyNumberFormat="1" applyFont="1" applyFill="1" applyBorder="1" applyAlignment="1">
      <alignment horizontal="center" vertical="center"/>
    </xf>
    <xf numFmtId="164" fontId="4" fillId="0" borderId="15" xfId="3" applyNumberFormat="1" applyFont="1" applyFill="1" applyBorder="1" applyAlignment="1">
      <alignment horizontal="center" wrapText="1"/>
    </xf>
    <xf numFmtId="164" fontId="3" fillId="0" borderId="45" xfId="3" applyNumberFormat="1" applyFont="1" applyFill="1" applyBorder="1" applyAlignment="1">
      <alignment horizontal="center"/>
    </xf>
    <xf numFmtId="164" fontId="4" fillId="0" borderId="37" xfId="4" applyNumberFormat="1" applyFont="1" applyFill="1" applyBorder="1" applyAlignment="1">
      <alignment horizontal="center"/>
    </xf>
    <xf numFmtId="164" fontId="4" fillId="0" borderId="3" xfId="3" applyNumberFormat="1" applyFont="1" applyFill="1" applyBorder="1" applyAlignment="1">
      <alignment horizontal="center" wrapText="1"/>
    </xf>
    <xf numFmtId="164" fontId="3" fillId="0" borderId="59" xfId="3" applyNumberFormat="1" applyFont="1" applyFill="1" applyBorder="1" applyAlignment="1">
      <alignment horizontal="center"/>
    </xf>
    <xf numFmtId="49" fontId="4" fillId="0" borderId="48" xfId="3" applyNumberFormat="1" applyFont="1" applyFill="1" applyBorder="1" applyAlignment="1">
      <alignment horizontal="center" vertical="top" wrapText="1"/>
    </xf>
    <xf numFmtId="164" fontId="4" fillId="0" borderId="66" xfId="3" applyNumberFormat="1" applyFont="1" applyFill="1" applyBorder="1" applyAlignment="1">
      <alignment horizontal="center" wrapText="1"/>
    </xf>
    <xf numFmtId="164" fontId="4" fillId="0" borderId="16" xfId="4" applyNumberFormat="1" applyFont="1" applyFill="1" applyBorder="1" applyAlignment="1">
      <alignment horizontal="center" vertical="center"/>
    </xf>
    <xf numFmtId="164" fontId="4" fillId="0" borderId="85" xfId="4" applyNumberFormat="1" applyFont="1" applyFill="1" applyBorder="1" applyAlignment="1">
      <alignment horizontal="center" vertical="center"/>
    </xf>
    <xf numFmtId="164" fontId="3" fillId="0" borderId="78" xfId="3" applyNumberFormat="1" applyFont="1" applyFill="1" applyBorder="1" applyAlignment="1">
      <alignment horizontal="center"/>
    </xf>
    <xf numFmtId="49" fontId="4" fillId="0" borderId="49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vertical="top" wrapText="1"/>
    </xf>
    <xf numFmtId="164" fontId="3" fillId="0" borderId="26" xfId="3" applyNumberFormat="1" applyFont="1" applyFill="1" applyBorder="1" applyAlignment="1">
      <alignment horizontal="center"/>
    </xf>
    <xf numFmtId="164" fontId="4" fillId="0" borderId="22" xfId="4" applyNumberFormat="1" applyFont="1" applyFill="1" applyBorder="1" applyAlignment="1">
      <alignment horizontal="center"/>
    </xf>
    <xf numFmtId="0" fontId="4" fillId="0" borderId="46" xfId="3" applyFont="1" applyFill="1" applyBorder="1" applyAlignment="1">
      <alignment horizontal="center" vertical="top" wrapText="1"/>
    </xf>
    <xf numFmtId="164" fontId="4" fillId="0" borderId="3" xfId="4" applyNumberFormat="1" applyFont="1" applyFill="1" applyBorder="1" applyAlignment="1">
      <alignment horizontal="center"/>
    </xf>
    <xf numFmtId="0" fontId="4" fillId="0" borderId="8" xfId="3" applyFont="1" applyFill="1" applyBorder="1" applyAlignment="1">
      <alignment vertical="top" wrapText="1"/>
    </xf>
    <xf numFmtId="164" fontId="4" fillId="0" borderId="86" xfId="3" applyNumberFormat="1" applyFont="1" applyFill="1" applyBorder="1" applyAlignment="1">
      <alignment horizontal="center" wrapText="1"/>
    </xf>
    <xf numFmtId="49" fontId="3" fillId="0" borderId="49" xfId="3" applyNumberFormat="1" applyFont="1" applyFill="1" applyBorder="1" applyAlignment="1">
      <alignment horizontal="center" vertical="top" wrapText="1"/>
    </xf>
    <xf numFmtId="0" fontId="3" fillId="0" borderId="32" xfId="3" applyFont="1" applyFill="1" applyBorder="1" applyAlignment="1">
      <alignment vertical="top" wrapText="1"/>
    </xf>
    <xf numFmtId="164" fontId="4" fillId="0" borderId="31" xfId="3" applyNumberFormat="1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justify"/>
    </xf>
    <xf numFmtId="164" fontId="3" fillId="0" borderId="26" xfId="6" applyNumberFormat="1" applyFont="1" applyFill="1" applyBorder="1" applyAlignment="1">
      <alignment horizontal="center"/>
    </xf>
    <xf numFmtId="164" fontId="4" fillId="0" borderId="13" xfId="4" applyNumberFormat="1" applyFont="1" applyFill="1" applyBorder="1" applyAlignment="1">
      <alignment horizontal="center"/>
    </xf>
    <xf numFmtId="0" fontId="4" fillId="0" borderId="4" xfId="5" applyFont="1" applyFill="1" applyBorder="1" applyAlignment="1">
      <alignment horizontal="justify"/>
    </xf>
    <xf numFmtId="164" fontId="3" fillId="0" borderId="83" xfId="6" applyNumberFormat="1" applyFont="1" applyFill="1" applyBorder="1" applyAlignment="1">
      <alignment horizontal="center"/>
    </xf>
    <xf numFmtId="164" fontId="4" fillId="0" borderId="37" xfId="4" applyNumberFormat="1" applyFont="1" applyFill="1" applyBorder="1" applyAlignment="1">
      <alignment horizontal="center" vertical="center"/>
    </xf>
    <xf numFmtId="164" fontId="4" fillId="0" borderId="3" xfId="4" applyNumberFormat="1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justify" wrapText="1"/>
    </xf>
    <xf numFmtId="164" fontId="4" fillId="0" borderId="16" xfId="4" applyNumberFormat="1" applyFont="1" applyFill="1" applyBorder="1" applyAlignment="1">
      <alignment horizontal="center"/>
    </xf>
    <xf numFmtId="164" fontId="4" fillId="0" borderId="85" xfId="4" applyNumberFormat="1" applyFont="1" applyFill="1" applyBorder="1" applyAlignment="1">
      <alignment horizontal="center"/>
    </xf>
    <xf numFmtId="49" fontId="13" fillId="0" borderId="49" xfId="3" applyNumberFormat="1" applyFont="1" applyFill="1" applyBorder="1" applyAlignment="1">
      <alignment horizontal="center" vertical="top" wrapText="1"/>
    </xf>
    <xf numFmtId="0" fontId="13" fillId="0" borderId="32" xfId="3" applyFont="1" applyFill="1" applyBorder="1" applyAlignment="1">
      <alignment horizontal="justify" vertical="top" wrapText="1"/>
    </xf>
    <xf numFmtId="164" fontId="13" fillId="0" borderId="31" xfId="6" applyNumberFormat="1" applyFont="1" applyFill="1" applyBorder="1" applyAlignment="1">
      <alignment horizontal="center"/>
    </xf>
    <xf numFmtId="0" fontId="4" fillId="0" borderId="8" xfId="5" applyFont="1" applyFill="1" applyBorder="1" applyAlignment="1">
      <alignment horizontal="justify"/>
    </xf>
    <xf numFmtId="164" fontId="4" fillId="0" borderId="17" xfId="4" applyNumberFormat="1" applyFont="1" applyFill="1" applyBorder="1" applyAlignment="1">
      <alignment horizontal="center" vertical="center"/>
    </xf>
    <xf numFmtId="164" fontId="3" fillId="0" borderId="48" xfId="3" applyNumberFormat="1" applyFont="1" applyFill="1" applyBorder="1" applyAlignment="1">
      <alignment horizontal="center"/>
    </xf>
    <xf numFmtId="164" fontId="3" fillId="0" borderId="49" xfId="3" applyNumberFormat="1" applyFont="1" applyFill="1" applyBorder="1" applyAlignment="1">
      <alignment horizontal="center" wrapText="1"/>
    </xf>
    <xf numFmtId="164" fontId="3" fillId="0" borderId="76" xfId="3" applyNumberFormat="1" applyFont="1" applyFill="1" applyBorder="1" applyAlignment="1">
      <alignment horizontal="center" wrapText="1"/>
    </xf>
    <xf numFmtId="164" fontId="3" fillId="0" borderId="44" xfId="3" applyNumberFormat="1" applyFont="1" applyFill="1" applyBorder="1" applyAlignment="1">
      <alignment horizontal="center" wrapText="1"/>
    </xf>
    <xf numFmtId="164" fontId="3" fillId="0" borderId="39" xfId="4" applyNumberFormat="1" applyFont="1" applyFill="1" applyBorder="1" applyAlignment="1">
      <alignment horizontal="center"/>
    </xf>
    <xf numFmtId="0" fontId="4" fillId="0" borderId="59" xfId="3" applyFont="1" applyFill="1" applyBorder="1" applyAlignment="1">
      <alignment horizontal="center" vertical="top" wrapText="1"/>
    </xf>
    <xf numFmtId="164" fontId="4" fillId="0" borderId="28" xfId="3" applyNumberFormat="1" applyFont="1" applyFill="1" applyBorder="1" applyAlignment="1">
      <alignment horizontal="center" wrapText="1"/>
    </xf>
    <xf numFmtId="0" fontId="4" fillId="0" borderId="88" xfId="3" applyFont="1" applyFill="1" applyBorder="1" applyAlignment="1">
      <alignment horizontal="justify" vertical="top" wrapText="1"/>
    </xf>
    <xf numFmtId="0" fontId="3" fillId="0" borderId="89" xfId="3" applyFont="1" applyFill="1" applyBorder="1" applyAlignment="1">
      <alignment horizontal="center" wrapText="1"/>
    </xf>
    <xf numFmtId="0" fontId="4" fillId="0" borderId="16" xfId="3" applyFont="1" applyFill="1" applyBorder="1" applyAlignment="1">
      <alignment horizontal="center" wrapText="1"/>
    </xf>
    <xf numFmtId="0" fontId="4" fillId="0" borderId="18" xfId="3" applyFont="1" applyFill="1" applyBorder="1" applyAlignment="1">
      <alignment horizontal="center" wrapText="1"/>
    </xf>
    <xf numFmtId="0" fontId="4" fillId="0" borderId="38" xfId="3" applyFont="1" applyFill="1" applyBorder="1" applyAlignment="1">
      <alignment horizontal="center" wrapText="1"/>
    </xf>
    <xf numFmtId="0" fontId="4" fillId="0" borderId="85" xfId="3" applyFont="1" applyFill="1" applyBorder="1" applyAlignment="1">
      <alignment horizontal="center" wrapText="1"/>
    </xf>
    <xf numFmtId="0" fontId="3" fillId="0" borderId="78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justify" vertical="top" wrapText="1"/>
    </xf>
    <xf numFmtId="0" fontId="3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49" fontId="4" fillId="0" borderId="0" xfId="3" applyNumberFormat="1" applyFont="1" applyFill="1"/>
    <xf numFmtId="49" fontId="1" fillId="0" borderId="0" xfId="1" applyNumberFormat="1" applyFont="1" applyFill="1"/>
    <xf numFmtId="0" fontId="4" fillId="0" borderId="0" xfId="1" applyFont="1" applyFill="1"/>
    <xf numFmtId="0" fontId="5" fillId="0" borderId="0" xfId="1" applyFont="1" applyFill="1" applyBorder="1" applyAlignment="1">
      <alignment horizontal="center" vertical="top" wrapText="1"/>
    </xf>
    <xf numFmtId="0" fontId="1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9" fillId="0" borderId="0" xfId="1" applyFont="1"/>
    <xf numFmtId="0" fontId="9" fillId="0" borderId="0" xfId="1"/>
    <xf numFmtId="0" fontId="5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/>
    <xf numFmtId="0" fontId="4" fillId="0" borderId="0" xfId="1" applyFont="1"/>
    <xf numFmtId="0" fontId="14" fillId="0" borderId="0" xfId="1" applyFont="1" applyAlignment="1"/>
    <xf numFmtId="0" fontId="15" fillId="0" borderId="0" xfId="1" applyFont="1" applyAlignment="1"/>
    <xf numFmtId="0" fontId="3" fillId="0" borderId="49" xfId="1" applyFont="1" applyFill="1" applyBorder="1" applyAlignment="1">
      <alignment horizontal="center" vertical="top" wrapText="1"/>
    </xf>
    <xf numFmtId="0" fontId="3" fillId="0" borderId="32" xfId="1" applyFont="1" applyFill="1" applyBorder="1" applyAlignment="1">
      <alignment horizontal="justify" vertical="top" wrapText="1"/>
    </xf>
    <xf numFmtId="164" fontId="9" fillId="0" borderId="0" xfId="1" applyNumberFormat="1"/>
    <xf numFmtId="49" fontId="4" fillId="0" borderId="59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/>
    <xf numFmtId="49" fontId="4" fillId="0" borderId="59" xfId="3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center" wrapText="1"/>
    </xf>
    <xf numFmtId="0" fontId="4" fillId="0" borderId="46" xfId="1" applyNumberFormat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justify" vertical="top" wrapText="1"/>
    </xf>
    <xf numFmtId="0" fontId="4" fillId="0" borderId="48" xfId="1" applyNumberFormat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justify" vertical="top" wrapText="1"/>
    </xf>
    <xf numFmtId="0" fontId="3" fillId="0" borderId="49" xfId="1" applyNumberFormat="1" applyFont="1" applyFill="1" applyBorder="1" applyAlignment="1">
      <alignment horizontal="center" vertical="top" wrapText="1"/>
    </xf>
    <xf numFmtId="0" fontId="4" fillId="0" borderId="32" xfId="1" applyFont="1" applyFill="1" applyBorder="1" applyAlignment="1">
      <alignment vertical="top" wrapText="1"/>
    </xf>
    <xf numFmtId="0" fontId="4" fillId="0" borderId="59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justify" vertical="center" wrapText="1"/>
    </xf>
    <xf numFmtId="0" fontId="4" fillId="0" borderId="8" xfId="1" applyFont="1" applyFill="1" applyBorder="1" applyAlignment="1">
      <alignment vertical="top" wrapText="1"/>
    </xf>
    <xf numFmtId="0" fontId="4" fillId="0" borderId="32" xfId="1" applyFont="1" applyFill="1" applyBorder="1" applyAlignment="1">
      <alignment horizontal="justify" vertical="top" wrapText="1"/>
    </xf>
    <xf numFmtId="0" fontId="4" fillId="0" borderId="59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32" xfId="1" applyFont="1" applyFill="1" applyBorder="1" applyAlignment="1">
      <alignment vertical="top" wrapText="1"/>
    </xf>
    <xf numFmtId="49" fontId="4" fillId="0" borderId="59" xfId="1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justify"/>
    </xf>
    <xf numFmtId="0" fontId="4" fillId="0" borderId="4" xfId="4" applyFont="1" applyFill="1" applyBorder="1" applyAlignment="1">
      <alignment horizontal="justify"/>
    </xf>
    <xf numFmtId="14" fontId="4" fillId="0" borderId="46" xfId="1" applyNumberFormat="1" applyFont="1" applyFill="1" applyBorder="1" applyAlignment="1">
      <alignment horizontal="center" vertical="top" wrapText="1"/>
    </xf>
    <xf numFmtId="0" fontId="4" fillId="0" borderId="4" xfId="4" applyFont="1" applyFill="1" applyBorder="1" applyAlignment="1">
      <alignment horizontal="justify" wrapText="1"/>
    </xf>
    <xf numFmtId="0" fontId="13" fillId="0" borderId="32" xfId="1" applyFont="1" applyFill="1" applyBorder="1" applyAlignment="1">
      <alignment horizontal="justify" vertical="top" wrapText="1"/>
    </xf>
    <xf numFmtId="14" fontId="4" fillId="0" borderId="59" xfId="1" applyNumberFormat="1" applyFont="1" applyFill="1" applyBorder="1" applyAlignment="1">
      <alignment horizontal="center" vertical="top" wrapText="1"/>
    </xf>
    <xf numFmtId="0" fontId="4" fillId="0" borderId="8" xfId="4" applyFont="1" applyFill="1" applyBorder="1" applyAlignment="1">
      <alignment horizontal="justify"/>
    </xf>
    <xf numFmtId="0" fontId="3" fillId="0" borderId="49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justify" vertical="center" wrapText="1"/>
    </xf>
    <xf numFmtId="0" fontId="4" fillId="0" borderId="59" xfId="1" applyFont="1" applyFill="1" applyBorder="1" applyAlignment="1">
      <alignment horizontal="center" vertical="top" wrapText="1"/>
    </xf>
    <xf numFmtId="0" fontId="4" fillId="0" borderId="46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justify" vertical="center" wrapText="1"/>
    </xf>
    <xf numFmtId="0" fontId="4" fillId="0" borderId="88" xfId="1" applyFont="1" applyFill="1" applyBorder="1" applyAlignment="1">
      <alignment horizontal="justify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justify" vertical="top" wrapText="1"/>
    </xf>
    <xf numFmtId="0" fontId="4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49" fontId="8" fillId="0" borderId="8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/>
    <xf numFmtId="49" fontId="1" fillId="0" borderId="0" xfId="0" applyNumberFormat="1" applyFont="1"/>
    <xf numFmtId="49" fontId="1" fillId="0" borderId="1" xfId="0" applyNumberFormat="1" applyFont="1" applyBorder="1" applyAlignment="1"/>
    <xf numFmtId="49" fontId="5" fillId="0" borderId="2" xfId="0" applyNumberFormat="1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2" xfId="0" applyNumberFormat="1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center" wrapText="1" indent="1"/>
    </xf>
    <xf numFmtId="49" fontId="1" fillId="0" borderId="10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49" fontId="5" fillId="0" borderId="0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/>
    <xf numFmtId="49" fontId="5" fillId="0" borderId="0" xfId="0" applyNumberFormat="1" applyFont="1" applyAlignment="1">
      <alignment horizontal="center" vertical="top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justify" wrapText="1"/>
    </xf>
    <xf numFmtId="49" fontId="1" fillId="0" borderId="4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 wrapText="1"/>
    </xf>
    <xf numFmtId="0" fontId="3" fillId="0" borderId="81" xfId="3" applyFont="1" applyFill="1" applyBorder="1" applyAlignment="1">
      <alignment horizontal="center" vertical="top" wrapText="1"/>
    </xf>
    <xf numFmtId="0" fontId="3" fillId="0" borderId="65" xfId="3" applyFont="1" applyFill="1" applyBorder="1" applyAlignment="1">
      <alignment horizontal="center" vertical="top" wrapText="1"/>
    </xf>
    <xf numFmtId="0" fontId="4" fillId="0" borderId="48" xfId="3" applyFont="1" applyFill="1" applyBorder="1" applyAlignment="1">
      <alignment horizontal="center" vertical="top" wrapText="1"/>
    </xf>
    <xf numFmtId="0" fontId="4" fillId="0" borderId="87" xfId="3" applyFont="1" applyFill="1" applyBorder="1" applyAlignment="1">
      <alignment horizontal="center" vertical="top" wrapText="1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center"/>
    </xf>
    <xf numFmtId="0" fontId="4" fillId="0" borderId="81" xfId="3" applyFont="1" applyFill="1" applyBorder="1" applyAlignment="1">
      <alignment horizontal="center" vertical="top" wrapText="1"/>
    </xf>
    <xf numFmtId="0" fontId="4" fillId="0" borderId="65" xfId="3" applyFont="1" applyFill="1" applyBorder="1" applyAlignment="1">
      <alignment horizontal="center" vertical="top" wrapText="1"/>
    </xf>
    <xf numFmtId="0" fontId="4" fillId="0" borderId="42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 wrapText="1"/>
    </xf>
    <xf numFmtId="0" fontId="3" fillId="0" borderId="19" xfId="3" applyFont="1" applyFill="1" applyBorder="1" applyAlignment="1">
      <alignment horizontal="center" vertical="top" wrapText="1"/>
    </xf>
    <xf numFmtId="0" fontId="4" fillId="0" borderId="32" xfId="3" applyFont="1" applyFill="1" applyBorder="1" applyAlignment="1">
      <alignment horizontal="center" vertical="center" wrapText="1"/>
    </xf>
    <xf numFmtId="0" fontId="4" fillId="0" borderId="75" xfId="3" applyFont="1" applyFill="1" applyBorder="1" applyAlignment="1">
      <alignment horizontal="center" vertical="center" wrapText="1"/>
    </xf>
    <xf numFmtId="0" fontId="4" fillId="0" borderId="31" xfId="3" applyFont="1" applyFill="1" applyBorder="1" applyAlignment="1">
      <alignment horizontal="center" vertical="center" wrapText="1"/>
    </xf>
    <xf numFmtId="0" fontId="12" fillId="0" borderId="37" xfId="3" applyFont="1" applyFill="1" applyBorder="1" applyAlignment="1">
      <alignment horizontal="center" vertical="center"/>
    </xf>
    <xf numFmtId="0" fontId="12" fillId="0" borderId="47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/>
    </xf>
    <xf numFmtId="0" fontId="12" fillId="0" borderId="30" xfId="3" applyFont="1" applyFill="1" applyBorder="1" applyAlignment="1">
      <alignment horizontal="center" vertical="center"/>
    </xf>
    <xf numFmtId="0" fontId="1" fillId="0" borderId="0" xfId="3" applyFont="1" applyFill="1" applyAlignment="1">
      <alignment horizontal="left"/>
    </xf>
    <xf numFmtId="0" fontId="1" fillId="0" borderId="0" xfId="3" applyFont="1" applyFill="1" applyAlignment="1">
      <alignment horizontal="center"/>
    </xf>
    <xf numFmtId="0" fontId="1" fillId="0" borderId="13" xfId="3" applyFont="1" applyFill="1" applyBorder="1" applyAlignment="1">
      <alignment horizontal="center" vertical="center"/>
    </xf>
    <xf numFmtId="0" fontId="1" fillId="0" borderId="37" xfId="3" applyFont="1" applyFill="1" applyBorder="1" applyAlignment="1">
      <alignment horizontal="center" vertical="center"/>
    </xf>
    <xf numFmtId="0" fontId="1" fillId="0" borderId="47" xfId="3" applyFont="1" applyFill="1" applyBorder="1" applyAlignment="1">
      <alignment horizontal="center" vertical="center"/>
    </xf>
    <xf numFmtId="0" fontId="1" fillId="0" borderId="22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45" xfId="3" applyFont="1" applyFill="1" applyBorder="1" applyAlignment="1">
      <alignment horizontal="center" vertical="center" wrapText="1"/>
    </xf>
    <xf numFmtId="0" fontId="1" fillId="0" borderId="46" xfId="3" applyFont="1" applyFill="1" applyBorder="1" applyAlignment="1">
      <alignment horizontal="center" vertical="center" wrapText="1"/>
    </xf>
    <xf numFmtId="0" fontId="1" fillId="0" borderId="48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center" vertical="center" wrapText="1"/>
    </xf>
    <xf numFmtId="0" fontId="1" fillId="0" borderId="37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15" xfId="3" applyFont="1" applyFill="1" applyBorder="1" applyAlignment="1">
      <alignment horizontal="center" vertical="center"/>
    </xf>
    <xf numFmtId="0" fontId="1" fillId="0" borderId="28" xfId="3" applyFont="1" applyFill="1" applyBorder="1" applyAlignment="1">
      <alignment horizontal="center" vertical="center"/>
    </xf>
    <xf numFmtId="2" fontId="5" fillId="0" borderId="41" xfId="2" applyNumberFormat="1" applyFont="1" applyFill="1" applyBorder="1" applyAlignment="1">
      <alignment horizontal="center"/>
    </xf>
    <xf numFmtId="2" fontId="5" fillId="0" borderId="42" xfId="2" applyNumberFormat="1" applyFont="1" applyFill="1" applyBorder="1" applyAlignment="1">
      <alignment horizontal="center"/>
    </xf>
    <xf numFmtId="2" fontId="5" fillId="0" borderId="43" xfId="2" applyNumberFormat="1" applyFont="1" applyFill="1" applyBorder="1" applyAlignment="1">
      <alignment horizontal="center"/>
    </xf>
    <xf numFmtId="0" fontId="10" fillId="0" borderId="31" xfId="2" applyFont="1" applyFill="1" applyBorder="1" applyAlignment="1">
      <alignment horizontal="right" vertical="top" wrapText="1"/>
    </xf>
    <xf numFmtId="0" fontId="10" fillId="0" borderId="32" xfId="2" applyFont="1" applyFill="1" applyBorder="1" applyAlignment="1">
      <alignment horizontal="right" vertical="top" wrapText="1"/>
    </xf>
    <xf numFmtId="0" fontId="10" fillId="0" borderId="33" xfId="2" applyFont="1" applyFill="1" applyBorder="1" applyAlignment="1">
      <alignment horizontal="right" vertical="top" wrapText="1"/>
    </xf>
    <xf numFmtId="0" fontId="10" fillId="0" borderId="19" xfId="2" applyFont="1" applyFill="1" applyBorder="1" applyAlignment="1">
      <alignment horizontal="center" vertical="top" wrapText="1"/>
    </xf>
    <xf numFmtId="0" fontId="10" fillId="0" borderId="20" xfId="2" applyFont="1" applyFill="1" applyBorder="1" applyAlignment="1">
      <alignment horizontal="center" vertical="top" wrapText="1"/>
    </xf>
    <xf numFmtId="0" fontId="10" fillId="0" borderId="21" xfId="2" applyFont="1" applyFill="1" applyBorder="1" applyAlignment="1">
      <alignment horizontal="center" vertical="top" wrapText="1"/>
    </xf>
    <xf numFmtId="0" fontId="10" fillId="0" borderId="31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33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/>
    </xf>
    <xf numFmtId="0" fontId="10" fillId="0" borderId="35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36" xfId="2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center"/>
    </xf>
    <xf numFmtId="0" fontId="10" fillId="0" borderId="15" xfId="2" applyFont="1" applyFill="1" applyBorder="1" applyAlignment="1">
      <alignment horizontal="center"/>
    </xf>
    <xf numFmtId="0" fontId="9" fillId="0" borderId="20" xfId="1" applyFill="1" applyBorder="1"/>
    <xf numFmtId="0" fontId="9" fillId="0" borderId="38" xfId="1" applyFill="1" applyBorder="1"/>
    <xf numFmtId="0" fontId="1" fillId="0" borderId="0" xfId="2" applyFont="1" applyFill="1" applyAlignment="1">
      <alignment horizontal="center"/>
    </xf>
    <xf numFmtId="0" fontId="1" fillId="0" borderId="13" xfId="2" applyFont="1" applyFill="1" applyBorder="1" applyAlignment="1">
      <alignment horizontal="center"/>
    </xf>
    <xf numFmtId="0" fontId="1" fillId="0" borderId="16" xfId="2" applyFont="1" applyFill="1" applyBorder="1" applyAlignment="1">
      <alignment horizontal="center"/>
    </xf>
    <xf numFmtId="0" fontId="1" fillId="0" borderId="14" xfId="2" applyFont="1" applyFill="1" applyBorder="1" applyAlignment="1">
      <alignment horizontal="center"/>
    </xf>
    <xf numFmtId="0" fontId="1" fillId="0" borderId="17" xfId="2" applyFont="1" applyFill="1" applyBorder="1" applyAlignment="1">
      <alignment horizontal="center"/>
    </xf>
    <xf numFmtId="0" fontId="1" fillId="0" borderId="15" xfId="2" applyFont="1" applyFill="1" applyBorder="1" applyAlignment="1">
      <alignment horizontal="center"/>
    </xf>
    <xf numFmtId="0" fontId="12" fillId="0" borderId="31" xfId="1" applyFont="1" applyBorder="1" applyAlignment="1">
      <alignment horizontal="center" wrapText="1"/>
    </xf>
    <xf numFmtId="0" fontId="12" fillId="0" borderId="75" xfId="1" applyFont="1" applyBorder="1" applyAlignment="1">
      <alignment horizontal="center" wrapText="1"/>
    </xf>
    <xf numFmtId="0" fontId="12" fillId="0" borderId="41" xfId="1" applyFont="1" applyBorder="1" applyAlignment="1">
      <alignment horizontal="center" textRotation="90" wrapText="1"/>
    </xf>
    <xf numFmtId="0" fontId="12" fillId="0" borderId="35" xfId="1" applyFont="1" applyBorder="1" applyAlignment="1">
      <alignment horizontal="center" textRotation="90" wrapText="1"/>
    </xf>
    <xf numFmtId="0" fontId="12" fillId="0" borderId="19" xfId="1" applyFont="1" applyBorder="1" applyAlignment="1">
      <alignment horizontal="center" textRotation="90" wrapText="1"/>
    </xf>
    <xf numFmtId="0" fontId="12" fillId="0" borderId="90" xfId="1" applyFont="1" applyBorder="1" applyAlignment="1">
      <alignment horizontal="center" textRotation="90" wrapText="1"/>
    </xf>
    <xf numFmtId="0" fontId="12" fillId="0" borderId="25" xfId="1" applyFont="1" applyBorder="1" applyAlignment="1">
      <alignment horizontal="center" textRotation="90" wrapText="1"/>
    </xf>
    <xf numFmtId="0" fontId="12" fillId="0" borderId="40" xfId="1" applyFont="1" applyBorder="1" applyAlignment="1">
      <alignment horizontal="center" textRotation="90" wrapText="1"/>
    </xf>
    <xf numFmtId="0" fontId="4" fillId="0" borderId="48" xfId="1" applyFont="1" applyFill="1" applyBorder="1" applyAlignment="1">
      <alignment horizontal="center" vertical="top" wrapText="1"/>
    </xf>
    <xf numFmtId="0" fontId="4" fillId="0" borderId="87" xfId="1" applyFont="1" applyFill="1" applyBorder="1" applyAlignment="1">
      <alignment horizontal="center" vertical="top" wrapText="1"/>
    </xf>
    <xf numFmtId="49" fontId="12" fillId="0" borderId="81" xfId="1" applyNumberFormat="1" applyFont="1" applyBorder="1" applyAlignment="1">
      <alignment horizontal="center" vertical="center" wrapText="1"/>
    </xf>
    <xf numFmtId="49" fontId="12" fillId="0" borderId="65" xfId="1" applyNumberFormat="1" applyFont="1" applyBorder="1" applyAlignment="1">
      <alignment horizontal="center" vertical="center" wrapText="1"/>
    </xf>
    <xf numFmtId="0" fontId="12" fillId="0" borderId="41" xfId="1" applyFont="1" applyBorder="1" applyAlignment="1">
      <alignment horizontal="center" wrapText="1"/>
    </xf>
    <xf numFmtId="0" fontId="12" fillId="0" borderId="43" xfId="1" applyFont="1" applyBorder="1" applyAlignment="1">
      <alignment horizontal="center" wrapText="1"/>
    </xf>
    <xf numFmtId="0" fontId="12" fillId="0" borderId="19" xfId="1" applyFont="1" applyBorder="1" applyAlignment="1">
      <alignment horizontal="center" wrapText="1"/>
    </xf>
    <xf numFmtId="0" fontId="12" fillId="0" borderId="21" xfId="1" applyFont="1" applyBorder="1" applyAlignment="1">
      <alignment horizontal="center" wrapText="1"/>
    </xf>
    <xf numFmtId="0" fontId="14" fillId="0" borderId="0" xfId="1" applyFont="1" applyAlignment="1">
      <alignment horizontal="center"/>
    </xf>
    <xf numFmtId="0" fontId="12" fillId="0" borderId="81" xfId="1" applyFont="1" applyBorder="1" applyAlignment="1">
      <alignment horizontal="center" vertical="center" wrapText="1"/>
    </xf>
    <xf numFmtId="0" fontId="12" fillId="0" borderId="65" xfId="1" applyFont="1" applyBorder="1" applyAlignment="1">
      <alignment horizontal="center" vertical="center" wrapText="1"/>
    </xf>
    <xf numFmtId="49" fontId="12" fillId="0" borderId="87" xfId="1" applyNumberFormat="1" applyFont="1" applyBorder="1" applyAlignment="1">
      <alignment horizontal="center" vertical="center" wrapText="1"/>
    </xf>
    <xf numFmtId="0" fontId="12" fillId="0" borderId="87" xfId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3"/>
    <cellStyle name="Обычный_Лист1" xfId="2"/>
    <cellStyle name="Обычный_Лист1 2" xfId="4"/>
    <cellStyle name="Обычный_Лист1 3" xfId="5"/>
    <cellStyle name="Обычный_Лист1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86;&#1074;&#1072;&#1103;%20&#1087;&#1072;&#1087;&#1082;&#1072;%20(3)\&#1043;&#1054;&#1056;&#1048;&#1057;&#1055;&#1054;&#1051;\&#1042;&#1080;&#1082;&#1086;&#1085;&#1082;&#1086;&#1084;%202015\&#1074;&#1080;&#1082;&#1086;&#1085;&#1082;&#1086;&#1084;2016\&#1079;&#1074;&#1110;&#1090;%20&#1087;&#1088;&#1086;%20&#1074;&#1080;&#1082;&#1086;&#1085;%20&#1087;&#1083;&#1072;&#1085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5"/>
      <sheetName val="зв.на бал.ІV"/>
      <sheetName val="01-16"/>
      <sheetName val="02-16"/>
      <sheetName val="03-16"/>
      <sheetName val="зв.на бал.І"/>
      <sheetName val="04-16"/>
      <sheetName val="05-16"/>
      <sheetName val="05-16 (2)"/>
      <sheetName val="06-16"/>
      <sheetName val="зв.на бал.ІІ"/>
      <sheetName val="07-16 "/>
      <sheetName val="08-16"/>
      <sheetName val="08-16 (2)"/>
      <sheetName val="09-16"/>
      <sheetName val="зв.на бал.ІІІ"/>
      <sheetName val="10-16"/>
      <sheetName val="11-16"/>
      <sheetName val="12-16"/>
      <sheetName val="зв.на бал.ІV16"/>
      <sheetName val="01-17"/>
      <sheetName val="02-17"/>
      <sheetName val="03-17"/>
      <sheetName val="зв.на бал.І17"/>
      <sheetName val="04-17"/>
      <sheetName val="05-17"/>
      <sheetName val="05-17 (2)"/>
      <sheetName val="06-17"/>
      <sheetName val="зв.на бал.ІІ17"/>
      <sheetName val="07-17"/>
      <sheetName val="08-17"/>
      <sheetName val="09-17"/>
      <sheetName val="зв.на бал.ІІІ17"/>
      <sheetName val="10-17"/>
      <sheetName val="11-17"/>
      <sheetName val="12-17"/>
      <sheetName val="зв.на бал.ІV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8">
          <cell r="A28" t="str">
            <v>2.1.</v>
          </cell>
          <cell r="B28" t="str">
            <v>Заробітна плата</v>
          </cell>
        </row>
        <row r="29">
          <cell r="A29" t="str">
            <v>2.2.</v>
          </cell>
          <cell r="B29" t="str">
            <v>Єдиний соціальний внесок 22 %</v>
          </cell>
        </row>
        <row r="30">
          <cell r="A30" t="str">
            <v>2.3.</v>
          </cell>
          <cell r="B30" t="str">
            <v>Собівартість реалізованих товарів</v>
          </cell>
        </row>
        <row r="33">
          <cell r="B33" t="str">
            <v xml:space="preserve">Матеріали </v>
          </cell>
        </row>
        <row r="34">
          <cell r="B34" t="str">
            <v>Транспортні послуги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9"/>
  <sheetViews>
    <sheetView topLeftCell="A37" zoomScaleNormal="100" workbookViewId="0">
      <selection activeCell="AQ61" sqref="AQ61"/>
    </sheetView>
  </sheetViews>
  <sheetFormatPr defaultRowHeight="12.75" x14ac:dyDescent="0.2"/>
  <cols>
    <col min="1" max="5" width="2.28515625" style="1" customWidth="1"/>
    <col min="6" max="6" width="2.42578125" style="1" customWidth="1"/>
    <col min="7" max="12" width="2.28515625" style="1" customWidth="1"/>
    <col min="13" max="13" width="1.28515625" style="1" customWidth="1"/>
    <col min="14" max="26" width="2.28515625" style="1" customWidth="1"/>
    <col min="27" max="27" width="2.5703125" style="1" customWidth="1"/>
    <col min="28" max="29" width="2.28515625" style="1" customWidth="1"/>
    <col min="30" max="31" width="2.28515625" style="2" customWidth="1"/>
    <col min="32" max="32" width="3.7109375" style="2" customWidth="1"/>
    <col min="33" max="34" width="2.28515625" style="2" customWidth="1"/>
    <col min="35" max="35" width="1.7109375" style="2" customWidth="1"/>
    <col min="36" max="40" width="2.7109375" style="2" customWidth="1"/>
    <col min="41" max="41" width="5.85546875" style="2" customWidth="1"/>
    <col min="42" max="16384" width="9.140625" style="2"/>
  </cols>
  <sheetData>
    <row r="1" spans="1:41" x14ac:dyDescent="0.2">
      <c r="W1" s="420" t="s">
        <v>0</v>
      </c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</row>
    <row r="3" spans="1:41" ht="20.25" x14ac:dyDescent="0.3">
      <c r="A3" s="422" t="s">
        <v>1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</row>
    <row r="4" spans="1:41" ht="15.75" x14ac:dyDescent="0.25">
      <c r="A4" s="3"/>
      <c r="B4" s="3"/>
      <c r="C4" s="3"/>
      <c r="D4" s="3"/>
      <c r="E4" s="4"/>
      <c r="G4" s="3"/>
      <c r="H4" s="3"/>
      <c r="L4" s="5"/>
      <c r="AA4" s="4"/>
      <c r="AB4" s="4"/>
      <c r="AC4" s="4"/>
      <c r="AD4" s="4"/>
      <c r="AE4" s="4"/>
      <c r="AF4" s="4"/>
      <c r="AG4" s="4"/>
      <c r="AH4" s="4"/>
      <c r="AI4" s="4"/>
      <c r="AJ4" s="424" t="s">
        <v>2</v>
      </c>
      <c r="AK4" s="424"/>
      <c r="AL4" s="424"/>
      <c r="AM4" s="424"/>
      <c r="AN4" s="424"/>
      <c r="AO4" s="424"/>
    </row>
    <row r="5" spans="1:41" x14ac:dyDescent="0.2">
      <c r="A5" s="425" t="s">
        <v>3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1"/>
      <c r="AI5" s="6"/>
      <c r="AJ5" s="360" t="s">
        <v>4</v>
      </c>
      <c r="AK5" s="360"/>
      <c r="AL5" s="360" t="s">
        <v>5</v>
      </c>
      <c r="AM5" s="360"/>
      <c r="AN5" s="360" t="s">
        <v>6</v>
      </c>
      <c r="AO5" s="360"/>
    </row>
    <row r="6" spans="1:41" x14ac:dyDescent="0.2">
      <c r="A6" s="417" t="s">
        <v>7</v>
      </c>
      <c r="B6" s="417"/>
      <c r="C6" s="417"/>
      <c r="D6" s="417"/>
      <c r="E6" s="417"/>
      <c r="F6" s="417"/>
      <c r="G6" s="426" t="s">
        <v>8</v>
      </c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7"/>
      <c r="AB6" s="352" t="s">
        <v>9</v>
      </c>
      <c r="AC6" s="352"/>
      <c r="AD6" s="352"/>
      <c r="AE6" s="352"/>
      <c r="AF6" s="352"/>
      <c r="AG6" s="352"/>
      <c r="AJ6" s="357" t="s">
        <v>10</v>
      </c>
      <c r="AK6" s="358"/>
      <c r="AL6" s="358"/>
      <c r="AM6" s="358"/>
      <c r="AN6" s="358"/>
      <c r="AO6" s="359"/>
    </row>
    <row r="7" spans="1:41" x14ac:dyDescent="0.2">
      <c r="A7" s="417" t="s">
        <v>11</v>
      </c>
      <c r="B7" s="417"/>
      <c r="C7" s="417"/>
      <c r="D7" s="417"/>
      <c r="E7" s="426" t="s">
        <v>12</v>
      </c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7"/>
      <c r="AB7" s="352" t="s">
        <v>13</v>
      </c>
      <c r="AC7" s="352"/>
      <c r="AD7" s="352"/>
      <c r="AE7" s="352"/>
      <c r="AF7" s="352"/>
      <c r="AG7" s="352"/>
      <c r="AJ7" s="360" t="s">
        <v>14</v>
      </c>
      <c r="AK7" s="360"/>
      <c r="AL7" s="360"/>
      <c r="AM7" s="360"/>
      <c r="AN7" s="360"/>
      <c r="AO7" s="360"/>
    </row>
    <row r="8" spans="1:41" x14ac:dyDescent="0.2">
      <c r="A8" s="420" t="s">
        <v>15</v>
      </c>
      <c r="B8" s="420"/>
      <c r="C8" s="420"/>
      <c r="D8" s="420"/>
      <c r="E8" s="420"/>
      <c r="F8" s="420"/>
      <c r="G8" s="420"/>
      <c r="H8" s="420"/>
      <c r="I8" s="420"/>
      <c r="J8" s="418" t="s">
        <v>16</v>
      </c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3"/>
      <c r="AB8" s="421" t="s">
        <v>17</v>
      </c>
      <c r="AC8" s="421"/>
      <c r="AD8" s="421"/>
      <c r="AE8" s="421"/>
      <c r="AF8" s="421"/>
      <c r="AG8" s="421"/>
      <c r="AJ8" s="357" t="s">
        <v>18</v>
      </c>
      <c r="AK8" s="358"/>
      <c r="AL8" s="358"/>
      <c r="AM8" s="358"/>
      <c r="AN8" s="358"/>
      <c r="AO8" s="359"/>
    </row>
    <row r="9" spans="1:41" x14ac:dyDescent="0.2">
      <c r="A9" s="417" t="s">
        <v>19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8" t="s">
        <v>20</v>
      </c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7"/>
      <c r="AB9" s="352" t="s">
        <v>21</v>
      </c>
      <c r="AC9" s="352"/>
      <c r="AD9" s="352"/>
      <c r="AE9" s="352"/>
      <c r="AF9" s="352"/>
      <c r="AG9" s="352"/>
      <c r="AJ9" s="357" t="s">
        <v>22</v>
      </c>
      <c r="AK9" s="358"/>
      <c r="AL9" s="358"/>
      <c r="AM9" s="358"/>
      <c r="AN9" s="358"/>
      <c r="AO9" s="359"/>
    </row>
    <row r="10" spans="1:41" x14ac:dyDescent="0.2">
      <c r="A10" s="417" t="s">
        <v>23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8" t="s">
        <v>24</v>
      </c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7"/>
      <c r="AC10" s="6"/>
      <c r="AD10" s="6"/>
      <c r="AE10" s="6"/>
      <c r="AF10" s="6"/>
    </row>
    <row r="11" spans="1:41" x14ac:dyDescent="0.2">
      <c r="A11" s="417" t="s">
        <v>25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7"/>
      <c r="AC11" s="8"/>
      <c r="AD11" s="8"/>
      <c r="AE11" s="1"/>
      <c r="AF11" s="1"/>
    </row>
    <row r="12" spans="1:41" x14ac:dyDescent="0.2">
      <c r="A12" s="352" t="s">
        <v>26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D12" s="1"/>
      <c r="AE12" s="1"/>
      <c r="AF12" s="1"/>
    </row>
    <row r="13" spans="1:41" ht="15.75" x14ac:dyDescent="0.25">
      <c r="C13" s="8"/>
      <c r="D13" s="8"/>
      <c r="E13" s="8"/>
      <c r="F13" s="8"/>
      <c r="L13" s="5"/>
    </row>
    <row r="14" spans="1:41" x14ac:dyDescent="0.2">
      <c r="A14" s="2"/>
      <c r="B14" s="2"/>
      <c r="C14" s="2"/>
      <c r="D14" s="2"/>
      <c r="E14" s="2"/>
      <c r="F14" s="2"/>
      <c r="G14" s="419" t="s">
        <v>27</v>
      </c>
      <c r="H14" s="419"/>
      <c r="I14" s="419"/>
      <c r="J14" s="419"/>
      <c r="K14" s="419"/>
      <c r="L14" s="419"/>
      <c r="M14" s="419"/>
      <c r="N14" s="419"/>
      <c r="O14" s="419"/>
      <c r="P14" s="419"/>
      <c r="Q14" s="9"/>
      <c r="R14" s="9"/>
      <c r="S14" s="9"/>
      <c r="T14" s="419" t="s">
        <v>28</v>
      </c>
      <c r="U14" s="419"/>
      <c r="V14" s="419"/>
      <c r="W14" s="419"/>
      <c r="X14" s="419"/>
      <c r="Y14" s="419"/>
      <c r="Z14" s="375" t="s">
        <v>29</v>
      </c>
      <c r="AA14" s="375"/>
      <c r="AB14" s="375"/>
      <c r="AC14" s="375"/>
      <c r="AD14" s="375"/>
      <c r="AE14" s="375"/>
      <c r="AF14" s="375"/>
      <c r="AG14" s="375"/>
      <c r="AI14" s="360">
        <v>1801006</v>
      </c>
      <c r="AJ14" s="360"/>
      <c r="AK14" s="360"/>
      <c r="AL14" s="360"/>
      <c r="AM14" s="360"/>
      <c r="AN14" s="360"/>
      <c r="AO14" s="360"/>
    </row>
    <row r="15" spans="1:41" x14ac:dyDescent="0.2">
      <c r="A15" s="2"/>
      <c r="B15" s="2"/>
      <c r="C15" s="2"/>
      <c r="D15" s="2"/>
      <c r="E15" s="2"/>
      <c r="F15" s="2"/>
      <c r="G15" s="414" t="s">
        <v>30</v>
      </c>
      <c r="H15" s="414"/>
      <c r="I15" s="414"/>
      <c r="J15" s="414"/>
      <c r="K15" s="414"/>
      <c r="L15" s="414"/>
      <c r="M15" s="414"/>
      <c r="N15" s="414"/>
      <c r="O15" s="414"/>
      <c r="P15" s="414"/>
      <c r="Q15" s="10"/>
      <c r="R15" s="10"/>
      <c r="S15" s="10"/>
    </row>
    <row r="16" spans="1:41" ht="15.75" x14ac:dyDescent="0.25">
      <c r="G16" s="11"/>
      <c r="H16" s="11"/>
      <c r="L16" s="5"/>
    </row>
    <row r="17" spans="1:41" x14ac:dyDescent="0.2">
      <c r="A17" s="409" t="s">
        <v>31</v>
      </c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10" t="s">
        <v>32</v>
      </c>
      <c r="X17" s="415"/>
      <c r="Y17" s="415"/>
      <c r="Z17" s="416"/>
      <c r="AA17" s="409" t="s">
        <v>33</v>
      </c>
      <c r="AB17" s="409"/>
      <c r="AC17" s="409"/>
      <c r="AD17" s="409"/>
      <c r="AE17" s="409"/>
      <c r="AF17" s="409"/>
      <c r="AG17" s="409"/>
      <c r="AH17" s="409"/>
      <c r="AI17" s="409" t="s">
        <v>34</v>
      </c>
      <c r="AJ17" s="409"/>
      <c r="AK17" s="409"/>
      <c r="AL17" s="409"/>
      <c r="AM17" s="409"/>
      <c r="AN17" s="409"/>
      <c r="AO17" s="409"/>
    </row>
    <row r="18" spans="1:41" x14ac:dyDescent="0.2">
      <c r="A18" s="383">
        <v>1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 t="s">
        <v>35</v>
      </c>
      <c r="X18" s="383"/>
      <c r="Y18" s="383"/>
      <c r="Z18" s="383"/>
      <c r="AA18" s="360">
        <v>3</v>
      </c>
      <c r="AB18" s="360"/>
      <c r="AC18" s="360"/>
      <c r="AD18" s="360"/>
      <c r="AE18" s="360"/>
      <c r="AF18" s="360"/>
      <c r="AG18" s="360"/>
      <c r="AH18" s="360"/>
      <c r="AI18" s="360">
        <v>4</v>
      </c>
      <c r="AJ18" s="360"/>
      <c r="AK18" s="360"/>
      <c r="AL18" s="360"/>
      <c r="AM18" s="360"/>
      <c r="AN18" s="360"/>
      <c r="AO18" s="360"/>
    </row>
    <row r="19" spans="1:41" x14ac:dyDescent="0.2">
      <c r="A19" s="397" t="s">
        <v>36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83"/>
      <c r="X19" s="383"/>
      <c r="Y19" s="383"/>
      <c r="Z19" s="383"/>
      <c r="AA19" s="404"/>
      <c r="AB19" s="404"/>
      <c r="AC19" s="404"/>
      <c r="AD19" s="404"/>
      <c r="AE19" s="404"/>
      <c r="AF19" s="404"/>
      <c r="AG19" s="404"/>
      <c r="AH19" s="404"/>
      <c r="AI19" s="413"/>
      <c r="AJ19" s="413"/>
      <c r="AK19" s="413"/>
      <c r="AL19" s="413"/>
      <c r="AM19" s="413"/>
      <c r="AN19" s="413"/>
      <c r="AO19" s="413"/>
    </row>
    <row r="20" spans="1:41" x14ac:dyDescent="0.2">
      <c r="A20" s="384" t="s">
        <v>37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3" t="s">
        <v>38</v>
      </c>
      <c r="X20" s="383"/>
      <c r="Y20" s="383"/>
      <c r="Z20" s="383"/>
      <c r="AA20" s="371">
        <v>17.100000000000001</v>
      </c>
      <c r="AB20" s="371"/>
      <c r="AC20" s="371"/>
      <c r="AD20" s="371"/>
      <c r="AE20" s="371"/>
      <c r="AF20" s="371"/>
      <c r="AG20" s="371"/>
      <c r="AH20" s="371"/>
      <c r="AI20" s="367">
        <v>5403.1</v>
      </c>
      <c r="AJ20" s="367"/>
      <c r="AK20" s="367"/>
      <c r="AL20" s="367"/>
      <c r="AM20" s="367"/>
      <c r="AN20" s="367"/>
      <c r="AO20" s="367"/>
    </row>
    <row r="21" spans="1:41" x14ac:dyDescent="0.2">
      <c r="A21" s="382" t="s">
        <v>39</v>
      </c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 t="s">
        <v>40</v>
      </c>
      <c r="X21" s="383"/>
      <c r="Y21" s="383"/>
      <c r="Z21" s="383"/>
      <c r="AA21" s="371">
        <v>387.8</v>
      </c>
      <c r="AB21" s="371"/>
      <c r="AC21" s="371"/>
      <c r="AD21" s="371"/>
      <c r="AE21" s="371"/>
      <c r="AF21" s="371"/>
      <c r="AG21" s="371"/>
      <c r="AH21" s="371"/>
      <c r="AI21" s="367">
        <v>6007.7</v>
      </c>
      <c r="AJ21" s="367"/>
      <c r="AK21" s="367"/>
      <c r="AL21" s="367"/>
      <c r="AM21" s="367"/>
      <c r="AN21" s="367"/>
      <c r="AO21" s="367"/>
    </row>
    <row r="22" spans="1:41" x14ac:dyDescent="0.2">
      <c r="A22" s="382" t="s">
        <v>41</v>
      </c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 t="s">
        <v>42</v>
      </c>
      <c r="X22" s="383"/>
      <c r="Y22" s="383"/>
      <c r="Z22" s="383"/>
      <c r="AA22" s="357" t="s">
        <v>43</v>
      </c>
      <c r="AB22" s="358"/>
      <c r="AC22" s="358"/>
      <c r="AD22" s="358"/>
      <c r="AE22" s="358"/>
      <c r="AF22" s="358"/>
      <c r="AG22" s="358"/>
      <c r="AH22" s="359"/>
      <c r="AI22" s="360" t="s">
        <v>44</v>
      </c>
      <c r="AJ22" s="360"/>
      <c r="AK22" s="360"/>
      <c r="AL22" s="360"/>
      <c r="AM22" s="360"/>
      <c r="AN22" s="360"/>
      <c r="AO22" s="360"/>
    </row>
    <row r="23" spans="1:41" x14ac:dyDescent="0.2">
      <c r="A23" s="384" t="s">
        <v>45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3" t="s">
        <v>46</v>
      </c>
      <c r="X23" s="383"/>
      <c r="Y23" s="383"/>
      <c r="Z23" s="383"/>
      <c r="AA23" s="404"/>
      <c r="AB23" s="404"/>
      <c r="AC23" s="404"/>
      <c r="AD23" s="404"/>
      <c r="AE23" s="404"/>
      <c r="AF23" s="404"/>
      <c r="AG23" s="404"/>
      <c r="AH23" s="404"/>
      <c r="AI23" s="413"/>
      <c r="AJ23" s="413"/>
      <c r="AK23" s="413"/>
      <c r="AL23" s="413"/>
      <c r="AM23" s="413"/>
      <c r="AN23" s="413"/>
      <c r="AO23" s="413"/>
    </row>
    <row r="24" spans="1:41" x14ac:dyDescent="0.2">
      <c r="A24" s="380" t="s">
        <v>47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1" t="s">
        <v>48</v>
      </c>
      <c r="X24" s="381"/>
      <c r="Y24" s="381"/>
      <c r="Z24" s="381"/>
      <c r="AA24" s="371">
        <v>17.100000000000001</v>
      </c>
      <c r="AB24" s="371"/>
      <c r="AC24" s="371"/>
      <c r="AD24" s="371"/>
      <c r="AE24" s="371"/>
      <c r="AF24" s="371"/>
      <c r="AG24" s="371"/>
      <c r="AH24" s="371"/>
      <c r="AI24" s="371">
        <v>5403.1</v>
      </c>
      <c r="AJ24" s="371"/>
      <c r="AK24" s="371"/>
      <c r="AL24" s="371"/>
      <c r="AM24" s="371"/>
      <c r="AN24" s="371"/>
      <c r="AO24" s="371"/>
    </row>
    <row r="25" spans="1:41" x14ac:dyDescent="0.2">
      <c r="A25" s="397" t="s">
        <v>49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83"/>
      <c r="X25" s="383"/>
      <c r="Y25" s="383"/>
      <c r="Z25" s="383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71"/>
      <c r="AM25" s="371"/>
      <c r="AN25" s="371"/>
      <c r="AO25" s="371"/>
    </row>
    <row r="26" spans="1:41" x14ac:dyDescent="0.2">
      <c r="A26" s="384" t="s">
        <v>50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3" t="s">
        <v>51</v>
      </c>
      <c r="X26" s="383"/>
      <c r="Y26" s="383"/>
      <c r="Z26" s="383"/>
      <c r="AA26" s="371">
        <v>366.1</v>
      </c>
      <c r="AB26" s="371"/>
      <c r="AC26" s="371"/>
      <c r="AD26" s="371"/>
      <c r="AE26" s="371"/>
      <c r="AF26" s="371"/>
      <c r="AG26" s="371"/>
      <c r="AH26" s="371"/>
      <c r="AI26" s="371">
        <v>656.1</v>
      </c>
      <c r="AJ26" s="371"/>
      <c r="AK26" s="371"/>
      <c r="AL26" s="371"/>
      <c r="AM26" s="371"/>
      <c r="AN26" s="371"/>
      <c r="AO26" s="371"/>
    </row>
    <row r="27" spans="1:41" x14ac:dyDescent="0.2">
      <c r="A27" s="384" t="s">
        <v>52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3" t="s">
        <v>53</v>
      </c>
      <c r="X27" s="383"/>
      <c r="Y27" s="383"/>
      <c r="Z27" s="383"/>
      <c r="AA27" s="371">
        <v>111.6</v>
      </c>
      <c r="AB27" s="371"/>
      <c r="AC27" s="371"/>
      <c r="AD27" s="371"/>
      <c r="AE27" s="371"/>
      <c r="AF27" s="371"/>
      <c r="AG27" s="371"/>
      <c r="AH27" s="371"/>
      <c r="AI27" s="371">
        <v>93.9</v>
      </c>
      <c r="AJ27" s="371"/>
      <c r="AK27" s="371"/>
      <c r="AL27" s="371"/>
      <c r="AM27" s="371"/>
      <c r="AN27" s="371"/>
      <c r="AO27" s="371"/>
    </row>
    <row r="28" spans="1:41" x14ac:dyDescent="0.2">
      <c r="A28" s="384" t="s">
        <v>54</v>
      </c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3" t="s">
        <v>55</v>
      </c>
      <c r="X28" s="383"/>
      <c r="Y28" s="383"/>
      <c r="Z28" s="383"/>
      <c r="AA28" s="371">
        <v>181.5</v>
      </c>
      <c r="AB28" s="371"/>
      <c r="AC28" s="371"/>
      <c r="AD28" s="371"/>
      <c r="AE28" s="371"/>
      <c r="AF28" s="371"/>
      <c r="AG28" s="371"/>
      <c r="AH28" s="371"/>
      <c r="AI28" s="371">
        <v>81.2</v>
      </c>
      <c r="AJ28" s="371"/>
      <c r="AK28" s="371"/>
      <c r="AL28" s="371"/>
      <c r="AM28" s="371"/>
      <c r="AN28" s="371"/>
      <c r="AO28" s="371"/>
    </row>
    <row r="29" spans="1:41" x14ac:dyDescent="0.2">
      <c r="A29" s="384" t="s">
        <v>56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3" t="s">
        <v>57</v>
      </c>
      <c r="X29" s="383"/>
      <c r="Y29" s="383"/>
      <c r="Z29" s="383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</row>
    <row r="30" spans="1:41" x14ac:dyDescent="0.2">
      <c r="A30" s="380" t="s">
        <v>58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1" t="s">
        <v>59</v>
      </c>
      <c r="X30" s="381"/>
      <c r="Y30" s="381"/>
      <c r="Z30" s="381"/>
      <c r="AA30" s="371">
        <v>659.2</v>
      </c>
      <c r="AB30" s="371"/>
      <c r="AC30" s="371"/>
      <c r="AD30" s="371"/>
      <c r="AE30" s="371"/>
      <c r="AF30" s="371"/>
      <c r="AG30" s="371"/>
      <c r="AH30" s="371"/>
      <c r="AI30" s="371">
        <v>831.2</v>
      </c>
      <c r="AJ30" s="371"/>
      <c r="AK30" s="371"/>
      <c r="AL30" s="371"/>
      <c r="AM30" s="371"/>
      <c r="AN30" s="371"/>
      <c r="AO30" s="371"/>
    </row>
    <row r="31" spans="1:41" x14ac:dyDescent="0.2">
      <c r="A31" s="380" t="s">
        <v>60</v>
      </c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1" t="s">
        <v>61</v>
      </c>
      <c r="X31" s="381"/>
      <c r="Y31" s="381"/>
      <c r="Z31" s="381"/>
      <c r="AA31" s="371">
        <v>676.3</v>
      </c>
      <c r="AB31" s="371"/>
      <c r="AC31" s="371"/>
      <c r="AD31" s="371"/>
      <c r="AE31" s="371"/>
      <c r="AF31" s="371"/>
      <c r="AG31" s="371"/>
      <c r="AH31" s="371"/>
      <c r="AI31" s="371">
        <v>6234.3</v>
      </c>
      <c r="AJ31" s="371"/>
      <c r="AK31" s="371"/>
      <c r="AL31" s="371"/>
      <c r="AM31" s="371"/>
      <c r="AN31" s="371"/>
      <c r="AO31" s="371"/>
    </row>
    <row r="32" spans="1:41" x14ac:dyDescent="0.2">
      <c r="A32" s="408"/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408"/>
      <c r="AO32" s="408"/>
    </row>
    <row r="33" spans="1:41" x14ac:dyDescent="0.2">
      <c r="A33" s="409" t="s">
        <v>62</v>
      </c>
      <c r="B33" s="409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 t="s">
        <v>32</v>
      </c>
      <c r="X33" s="409"/>
      <c r="Y33" s="409"/>
      <c r="Z33" s="409"/>
      <c r="AA33" s="409" t="s">
        <v>33</v>
      </c>
      <c r="AB33" s="409"/>
      <c r="AC33" s="409"/>
      <c r="AD33" s="409"/>
      <c r="AE33" s="409"/>
      <c r="AF33" s="409"/>
      <c r="AG33" s="409"/>
      <c r="AH33" s="409"/>
      <c r="AI33" s="410" t="s">
        <v>34</v>
      </c>
      <c r="AJ33" s="411"/>
      <c r="AK33" s="411"/>
      <c r="AL33" s="411"/>
      <c r="AM33" s="411"/>
      <c r="AN33" s="411"/>
      <c r="AO33" s="412"/>
    </row>
    <row r="34" spans="1:41" x14ac:dyDescent="0.2">
      <c r="A34" s="383">
        <v>1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>
        <v>2</v>
      </c>
      <c r="X34" s="383"/>
      <c r="Y34" s="383"/>
      <c r="Z34" s="383"/>
      <c r="AA34" s="360">
        <v>3</v>
      </c>
      <c r="AB34" s="360"/>
      <c r="AC34" s="360"/>
      <c r="AD34" s="360"/>
      <c r="AE34" s="360"/>
      <c r="AF34" s="360"/>
      <c r="AG34" s="360"/>
      <c r="AH34" s="360"/>
      <c r="AI34" s="357">
        <v>4</v>
      </c>
      <c r="AJ34" s="358"/>
      <c r="AK34" s="358"/>
      <c r="AL34" s="358"/>
      <c r="AM34" s="358"/>
      <c r="AN34" s="358"/>
      <c r="AO34" s="359"/>
    </row>
    <row r="35" spans="1:41" x14ac:dyDescent="0.2">
      <c r="A35" s="397" t="s">
        <v>63</v>
      </c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83"/>
      <c r="X35" s="383"/>
      <c r="Y35" s="383"/>
      <c r="Z35" s="383"/>
      <c r="AA35" s="404"/>
      <c r="AB35" s="404"/>
      <c r="AC35" s="404"/>
      <c r="AD35" s="404"/>
      <c r="AE35" s="404"/>
      <c r="AF35" s="404"/>
      <c r="AG35" s="404"/>
      <c r="AH35" s="404"/>
      <c r="AI35" s="405"/>
      <c r="AJ35" s="406"/>
      <c r="AK35" s="406"/>
      <c r="AL35" s="406"/>
      <c r="AM35" s="406"/>
      <c r="AN35" s="406"/>
      <c r="AO35" s="407"/>
    </row>
    <row r="36" spans="1:41" x14ac:dyDescent="0.2">
      <c r="A36" s="384" t="s">
        <v>64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3" t="s">
        <v>65</v>
      </c>
      <c r="X36" s="383"/>
      <c r="Y36" s="383"/>
      <c r="Z36" s="383"/>
      <c r="AA36" s="371">
        <v>118.3</v>
      </c>
      <c r="AB36" s="371"/>
      <c r="AC36" s="371"/>
      <c r="AD36" s="371"/>
      <c r="AE36" s="371"/>
      <c r="AF36" s="371"/>
      <c r="AG36" s="371"/>
      <c r="AH36" s="371"/>
      <c r="AI36" s="368">
        <v>5506.5</v>
      </c>
      <c r="AJ36" s="369"/>
      <c r="AK36" s="369"/>
      <c r="AL36" s="369"/>
      <c r="AM36" s="369"/>
      <c r="AN36" s="369"/>
      <c r="AO36" s="370"/>
    </row>
    <row r="37" spans="1:41" x14ac:dyDescent="0.2">
      <c r="A37" s="384" t="s">
        <v>66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3" t="s">
        <v>67</v>
      </c>
      <c r="X37" s="383"/>
      <c r="Y37" s="383"/>
      <c r="Z37" s="383"/>
      <c r="AA37" s="371">
        <v>291.5</v>
      </c>
      <c r="AB37" s="371"/>
      <c r="AC37" s="371"/>
      <c r="AD37" s="371"/>
      <c r="AE37" s="371"/>
      <c r="AF37" s="371"/>
      <c r="AG37" s="371"/>
      <c r="AH37" s="371"/>
      <c r="AI37" s="368">
        <v>470.9</v>
      </c>
      <c r="AJ37" s="369"/>
      <c r="AK37" s="369"/>
      <c r="AL37" s="369"/>
      <c r="AM37" s="369"/>
      <c r="AN37" s="369"/>
      <c r="AO37" s="370"/>
    </row>
    <row r="38" spans="1:41" x14ac:dyDescent="0.2">
      <c r="A38" s="398" t="s">
        <v>68</v>
      </c>
      <c r="B38" s="399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400"/>
      <c r="W38" s="401" t="s">
        <v>69</v>
      </c>
      <c r="X38" s="402"/>
      <c r="Y38" s="402"/>
      <c r="Z38" s="403"/>
      <c r="AA38" s="368" t="s">
        <v>70</v>
      </c>
      <c r="AB38" s="369"/>
      <c r="AC38" s="369"/>
      <c r="AD38" s="369"/>
      <c r="AE38" s="369"/>
      <c r="AF38" s="369"/>
      <c r="AG38" s="369"/>
      <c r="AH38" s="370"/>
      <c r="AI38" s="368" t="s">
        <v>70</v>
      </c>
      <c r="AJ38" s="369"/>
      <c r="AK38" s="369"/>
      <c r="AL38" s="369"/>
      <c r="AM38" s="369"/>
      <c r="AN38" s="369"/>
      <c r="AO38" s="370"/>
    </row>
    <row r="39" spans="1:41" x14ac:dyDescent="0.2">
      <c r="A39" s="380" t="s">
        <v>47</v>
      </c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1" t="s">
        <v>71</v>
      </c>
      <c r="X39" s="381"/>
      <c r="Y39" s="381"/>
      <c r="Z39" s="381"/>
      <c r="AA39" s="371">
        <v>409.8</v>
      </c>
      <c r="AB39" s="371"/>
      <c r="AC39" s="371"/>
      <c r="AD39" s="371"/>
      <c r="AE39" s="371"/>
      <c r="AF39" s="371"/>
      <c r="AG39" s="371"/>
      <c r="AH39" s="371"/>
      <c r="AI39" s="368">
        <v>5977.4</v>
      </c>
      <c r="AJ39" s="369"/>
      <c r="AK39" s="369"/>
      <c r="AL39" s="369"/>
      <c r="AM39" s="369"/>
      <c r="AN39" s="369"/>
      <c r="AO39" s="370"/>
    </row>
    <row r="40" spans="1:41" x14ac:dyDescent="0.2">
      <c r="A40" s="397" t="s">
        <v>72</v>
      </c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81" t="s">
        <v>73</v>
      </c>
      <c r="X40" s="381"/>
      <c r="Y40" s="381"/>
      <c r="Z40" s="381"/>
      <c r="AA40" s="371"/>
      <c r="AB40" s="371"/>
      <c r="AC40" s="371"/>
      <c r="AD40" s="371"/>
      <c r="AE40" s="371"/>
      <c r="AF40" s="371"/>
      <c r="AG40" s="371"/>
      <c r="AH40" s="371"/>
      <c r="AI40" s="368"/>
      <c r="AJ40" s="369"/>
      <c r="AK40" s="369"/>
      <c r="AL40" s="369"/>
      <c r="AM40" s="369"/>
      <c r="AN40" s="369"/>
      <c r="AO40" s="370"/>
    </row>
    <row r="41" spans="1:41" x14ac:dyDescent="0.2">
      <c r="A41" s="397" t="s">
        <v>74</v>
      </c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81"/>
      <c r="X41" s="381"/>
      <c r="Y41" s="381"/>
      <c r="Z41" s="381"/>
      <c r="AA41" s="371"/>
      <c r="AB41" s="371"/>
      <c r="AC41" s="371"/>
      <c r="AD41" s="371"/>
      <c r="AE41" s="371"/>
      <c r="AF41" s="371"/>
      <c r="AG41" s="371"/>
      <c r="AH41" s="371"/>
      <c r="AI41" s="368"/>
      <c r="AJ41" s="369"/>
      <c r="AK41" s="369"/>
      <c r="AL41" s="369"/>
      <c r="AM41" s="369"/>
      <c r="AN41" s="369"/>
      <c r="AO41" s="370"/>
    </row>
    <row r="42" spans="1:41" x14ac:dyDescent="0.2">
      <c r="A42" s="384" t="s">
        <v>75</v>
      </c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3" t="s">
        <v>76</v>
      </c>
      <c r="X42" s="383"/>
      <c r="Y42" s="383"/>
      <c r="Z42" s="383"/>
      <c r="AA42" s="371"/>
      <c r="AB42" s="371"/>
      <c r="AC42" s="371"/>
      <c r="AD42" s="371"/>
      <c r="AE42" s="371"/>
      <c r="AF42" s="371"/>
      <c r="AG42" s="371"/>
      <c r="AH42" s="371"/>
      <c r="AI42" s="368"/>
      <c r="AJ42" s="369"/>
      <c r="AK42" s="369"/>
      <c r="AL42" s="369"/>
      <c r="AM42" s="369"/>
      <c r="AN42" s="369"/>
      <c r="AO42" s="370"/>
    </row>
    <row r="43" spans="1:41" x14ac:dyDescent="0.2">
      <c r="A43" s="385" t="s">
        <v>77</v>
      </c>
      <c r="B43" s="385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6"/>
      <c r="X43" s="386"/>
      <c r="Y43" s="386"/>
      <c r="Z43" s="386"/>
      <c r="AA43" s="387"/>
      <c r="AB43" s="387"/>
      <c r="AC43" s="387"/>
      <c r="AD43" s="387"/>
      <c r="AE43" s="387"/>
      <c r="AF43" s="387"/>
      <c r="AG43" s="387"/>
      <c r="AH43" s="387"/>
      <c r="AI43" s="388"/>
      <c r="AJ43" s="389"/>
      <c r="AK43" s="389"/>
      <c r="AL43" s="389"/>
      <c r="AM43" s="389"/>
      <c r="AN43" s="389"/>
      <c r="AO43" s="390"/>
    </row>
    <row r="44" spans="1:41" x14ac:dyDescent="0.2">
      <c r="A44" s="391" t="s">
        <v>78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2" t="s">
        <v>79</v>
      </c>
      <c r="X44" s="392"/>
      <c r="Y44" s="392"/>
      <c r="Z44" s="392"/>
      <c r="AA44" s="393">
        <v>12.7</v>
      </c>
      <c r="AB44" s="393"/>
      <c r="AC44" s="393"/>
      <c r="AD44" s="393"/>
      <c r="AE44" s="393"/>
      <c r="AF44" s="393"/>
      <c r="AG44" s="393"/>
      <c r="AH44" s="393"/>
      <c r="AI44" s="394">
        <v>4</v>
      </c>
      <c r="AJ44" s="395"/>
      <c r="AK44" s="395"/>
      <c r="AL44" s="395"/>
      <c r="AM44" s="395"/>
      <c r="AN44" s="395"/>
      <c r="AO44" s="396"/>
    </row>
    <row r="45" spans="1:41" x14ac:dyDescent="0.2">
      <c r="A45" s="382" t="s">
        <v>80</v>
      </c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3" t="s">
        <v>81</v>
      </c>
      <c r="X45" s="383"/>
      <c r="Y45" s="383"/>
      <c r="Z45" s="383"/>
      <c r="AA45" s="371">
        <v>232.7</v>
      </c>
      <c r="AB45" s="371"/>
      <c r="AC45" s="371"/>
      <c r="AD45" s="371"/>
      <c r="AE45" s="371"/>
      <c r="AF45" s="371"/>
      <c r="AG45" s="371"/>
      <c r="AH45" s="371"/>
      <c r="AI45" s="368">
        <v>217.5</v>
      </c>
      <c r="AJ45" s="369"/>
      <c r="AK45" s="369"/>
      <c r="AL45" s="369"/>
      <c r="AM45" s="369"/>
      <c r="AN45" s="369"/>
      <c r="AO45" s="370"/>
    </row>
    <row r="46" spans="1:41" x14ac:dyDescent="0.2">
      <c r="A46" s="382" t="s">
        <v>82</v>
      </c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3" t="s">
        <v>83</v>
      </c>
      <c r="X46" s="383"/>
      <c r="Y46" s="383"/>
      <c r="Z46" s="383"/>
      <c r="AA46" s="371">
        <v>3.4</v>
      </c>
      <c r="AB46" s="371"/>
      <c r="AC46" s="371"/>
      <c r="AD46" s="371"/>
      <c r="AE46" s="371"/>
      <c r="AF46" s="371"/>
      <c r="AG46" s="371"/>
      <c r="AH46" s="371"/>
      <c r="AI46" s="368">
        <v>6.1</v>
      </c>
      <c r="AJ46" s="369"/>
      <c r="AK46" s="369"/>
      <c r="AL46" s="369"/>
      <c r="AM46" s="369"/>
      <c r="AN46" s="369"/>
      <c r="AO46" s="370"/>
    </row>
    <row r="47" spans="1:41" x14ac:dyDescent="0.2">
      <c r="A47" s="382" t="s">
        <v>84</v>
      </c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3" t="s">
        <v>85</v>
      </c>
      <c r="X47" s="383"/>
      <c r="Y47" s="383"/>
      <c r="Z47" s="383"/>
      <c r="AA47" s="371">
        <v>17.7</v>
      </c>
      <c r="AB47" s="371"/>
      <c r="AC47" s="371"/>
      <c r="AD47" s="371"/>
      <c r="AE47" s="371"/>
      <c r="AF47" s="371"/>
      <c r="AG47" s="371"/>
      <c r="AH47" s="371"/>
      <c r="AI47" s="368">
        <v>29.3</v>
      </c>
      <c r="AJ47" s="369"/>
      <c r="AK47" s="369"/>
      <c r="AL47" s="369"/>
      <c r="AM47" s="369"/>
      <c r="AN47" s="369"/>
      <c r="AO47" s="370"/>
    </row>
    <row r="48" spans="1:41" x14ac:dyDescent="0.2">
      <c r="A48" s="384" t="s">
        <v>86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3" t="s">
        <v>87</v>
      </c>
      <c r="X48" s="383"/>
      <c r="Y48" s="383"/>
      <c r="Z48" s="383"/>
      <c r="AA48" s="371"/>
      <c r="AB48" s="371"/>
      <c r="AC48" s="371"/>
      <c r="AD48" s="371"/>
      <c r="AE48" s="371"/>
      <c r="AF48" s="371"/>
      <c r="AG48" s="371"/>
      <c r="AH48" s="371"/>
      <c r="AI48" s="368"/>
      <c r="AJ48" s="369"/>
      <c r="AK48" s="369"/>
      <c r="AL48" s="369"/>
      <c r="AM48" s="369"/>
      <c r="AN48" s="369"/>
      <c r="AO48" s="370"/>
    </row>
    <row r="49" spans="1:42" ht="13.5" customHeight="1" x14ac:dyDescent="0.2">
      <c r="A49" s="380" t="s">
        <v>88</v>
      </c>
      <c r="B49" s="380"/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1" t="s">
        <v>89</v>
      </c>
      <c r="X49" s="381"/>
      <c r="Y49" s="381"/>
      <c r="Z49" s="381"/>
      <c r="AA49" s="371">
        <v>266.5</v>
      </c>
      <c r="AB49" s="371"/>
      <c r="AC49" s="371"/>
      <c r="AD49" s="371"/>
      <c r="AE49" s="371"/>
      <c r="AF49" s="371"/>
      <c r="AG49" s="371"/>
      <c r="AH49" s="371"/>
      <c r="AI49" s="368">
        <v>256.89999999999998</v>
      </c>
      <c r="AJ49" s="369"/>
      <c r="AK49" s="369"/>
      <c r="AL49" s="369"/>
      <c r="AM49" s="369"/>
      <c r="AN49" s="369"/>
      <c r="AO49" s="370"/>
    </row>
    <row r="50" spans="1:42" ht="17.25" customHeight="1" x14ac:dyDescent="0.2">
      <c r="A50" s="380" t="s">
        <v>60</v>
      </c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1" t="s">
        <v>90</v>
      </c>
      <c r="X50" s="381"/>
      <c r="Y50" s="381"/>
      <c r="Z50" s="381"/>
      <c r="AA50" s="371">
        <v>676.3</v>
      </c>
      <c r="AB50" s="371"/>
      <c r="AC50" s="371"/>
      <c r="AD50" s="371"/>
      <c r="AE50" s="371"/>
      <c r="AF50" s="371"/>
      <c r="AG50" s="371"/>
      <c r="AH50" s="371"/>
      <c r="AI50" s="368">
        <v>6234.3</v>
      </c>
      <c r="AJ50" s="369"/>
      <c r="AK50" s="369"/>
      <c r="AL50" s="369"/>
      <c r="AM50" s="369"/>
      <c r="AN50" s="369"/>
      <c r="AO50" s="370"/>
    </row>
    <row r="51" spans="1:42" ht="14.25" customHeight="1" x14ac:dyDescent="0.25">
      <c r="A51" s="9"/>
      <c r="B51" s="9"/>
      <c r="C51" s="9"/>
      <c r="D51" s="9"/>
      <c r="F51" s="9"/>
      <c r="G51" s="9"/>
      <c r="H51" s="9"/>
      <c r="I51" s="9"/>
      <c r="J51" s="9"/>
      <c r="K51" s="9"/>
      <c r="L51" s="5"/>
      <c r="V51" s="9"/>
    </row>
    <row r="52" spans="1:42" ht="27.75" customHeight="1" x14ac:dyDescent="0.2">
      <c r="A52" s="374" t="s">
        <v>91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</row>
    <row r="53" spans="1:42" ht="13.5" customHeight="1" x14ac:dyDescent="0.2">
      <c r="A53" s="374" t="s">
        <v>92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</row>
    <row r="54" spans="1:42" ht="14.25" customHeight="1" x14ac:dyDescent="0.2">
      <c r="A54" s="12"/>
      <c r="B54" s="12"/>
      <c r="C54" s="12"/>
      <c r="D54" s="12"/>
      <c r="F54" s="12"/>
      <c r="G54" s="4"/>
      <c r="H54" s="6"/>
      <c r="I54" s="6"/>
      <c r="J54" s="6"/>
      <c r="K54" s="6"/>
      <c r="V54" s="12"/>
      <c r="Z54" s="375" t="s">
        <v>93</v>
      </c>
      <c r="AA54" s="375"/>
      <c r="AB54" s="375"/>
      <c r="AC54" s="375"/>
      <c r="AD54" s="375"/>
      <c r="AE54" s="375"/>
      <c r="AF54" s="375"/>
      <c r="AG54" s="375"/>
    </row>
    <row r="55" spans="1:42" ht="15" customHeight="1" x14ac:dyDescent="0.25">
      <c r="A55" s="13"/>
      <c r="B55" s="13"/>
      <c r="C55" s="13"/>
      <c r="D55" s="13"/>
      <c r="F55" s="13"/>
      <c r="G55" s="14"/>
      <c r="H55" s="15"/>
      <c r="I55" s="15"/>
      <c r="J55" s="15"/>
      <c r="K55" s="13"/>
      <c r="L55" s="5"/>
      <c r="V55" s="13"/>
      <c r="Z55" s="375" t="s">
        <v>94</v>
      </c>
      <c r="AA55" s="375"/>
      <c r="AB55" s="375"/>
      <c r="AC55" s="375"/>
      <c r="AD55" s="375"/>
      <c r="AE55" s="375"/>
      <c r="AF55" s="375"/>
      <c r="AG55" s="375"/>
      <c r="AI55" s="360">
        <v>1801007</v>
      </c>
      <c r="AJ55" s="360"/>
      <c r="AK55" s="360"/>
      <c r="AL55" s="360"/>
      <c r="AM55" s="360"/>
      <c r="AN55" s="360"/>
      <c r="AO55" s="6"/>
      <c r="AP55" s="16"/>
    </row>
    <row r="56" spans="1:42" ht="12" customHeight="1" x14ac:dyDescent="0.25">
      <c r="A56" s="13"/>
      <c r="B56" s="13"/>
      <c r="C56" s="13"/>
      <c r="D56" s="13"/>
      <c r="F56" s="13"/>
      <c r="G56" s="14"/>
      <c r="H56" s="15"/>
      <c r="I56" s="15"/>
      <c r="J56" s="15"/>
      <c r="K56" s="13"/>
      <c r="L56" s="5"/>
      <c r="V56" s="13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2" ht="43.5" customHeight="1" x14ac:dyDescent="0.2">
      <c r="A57" s="373" t="s">
        <v>95</v>
      </c>
      <c r="B57" s="373"/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6" t="s">
        <v>32</v>
      </c>
      <c r="X57" s="376"/>
      <c r="Y57" s="376"/>
      <c r="Z57" s="376"/>
      <c r="AA57" s="377" t="s">
        <v>96</v>
      </c>
      <c r="AB57" s="378"/>
      <c r="AC57" s="378"/>
      <c r="AD57" s="378"/>
      <c r="AE57" s="378"/>
      <c r="AF57" s="378"/>
      <c r="AG57" s="378"/>
      <c r="AH57" s="379"/>
      <c r="AI57" s="373" t="s">
        <v>97</v>
      </c>
      <c r="AJ57" s="373"/>
      <c r="AK57" s="373"/>
      <c r="AL57" s="373"/>
      <c r="AM57" s="373"/>
      <c r="AN57" s="373"/>
      <c r="AO57" s="373"/>
    </row>
    <row r="58" spans="1:42" ht="12" customHeight="1" x14ac:dyDescent="0.2">
      <c r="A58" s="373">
        <v>1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63" t="s">
        <v>35</v>
      </c>
      <c r="X58" s="363"/>
      <c r="Y58" s="363"/>
      <c r="Z58" s="363"/>
      <c r="AA58" s="360" t="s">
        <v>98</v>
      </c>
      <c r="AB58" s="360"/>
      <c r="AC58" s="360"/>
      <c r="AD58" s="360"/>
      <c r="AE58" s="360"/>
      <c r="AF58" s="360"/>
      <c r="AG58" s="360"/>
      <c r="AH58" s="360"/>
      <c r="AI58" s="360" t="s">
        <v>24</v>
      </c>
      <c r="AJ58" s="360"/>
      <c r="AK58" s="360"/>
      <c r="AL58" s="360"/>
      <c r="AM58" s="360"/>
      <c r="AN58" s="360"/>
      <c r="AO58" s="360"/>
    </row>
    <row r="59" spans="1:42" ht="13.5" customHeight="1" x14ac:dyDescent="0.2">
      <c r="A59" s="362" t="s">
        <v>99</v>
      </c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3" t="s">
        <v>100</v>
      </c>
      <c r="X59" s="363"/>
      <c r="Y59" s="363"/>
      <c r="Z59" s="363"/>
      <c r="AA59" s="372">
        <v>2325.1999999999998</v>
      </c>
      <c r="AB59" s="372"/>
      <c r="AC59" s="372"/>
      <c r="AD59" s="372"/>
      <c r="AE59" s="372"/>
      <c r="AF59" s="372"/>
      <c r="AG59" s="372"/>
      <c r="AH59" s="372"/>
      <c r="AI59" s="372">
        <v>1101.8</v>
      </c>
      <c r="AJ59" s="372"/>
      <c r="AK59" s="372"/>
      <c r="AL59" s="372"/>
      <c r="AM59" s="372"/>
      <c r="AN59" s="372"/>
      <c r="AO59" s="372"/>
    </row>
    <row r="60" spans="1:42" ht="13.5" customHeight="1" x14ac:dyDescent="0.2">
      <c r="A60" s="362" t="s">
        <v>101</v>
      </c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3" t="s">
        <v>102</v>
      </c>
      <c r="X60" s="363"/>
      <c r="Y60" s="363"/>
      <c r="Z60" s="363"/>
      <c r="AA60" s="368">
        <v>247</v>
      </c>
      <c r="AB60" s="369"/>
      <c r="AC60" s="369"/>
      <c r="AD60" s="369"/>
      <c r="AE60" s="369"/>
      <c r="AF60" s="369"/>
      <c r="AG60" s="369"/>
      <c r="AH60" s="370"/>
      <c r="AI60" s="371">
        <v>63.9</v>
      </c>
      <c r="AJ60" s="371"/>
      <c r="AK60" s="371"/>
      <c r="AL60" s="371"/>
      <c r="AM60" s="371"/>
      <c r="AN60" s="371"/>
      <c r="AO60" s="371"/>
    </row>
    <row r="61" spans="1:42" ht="13.5" customHeight="1" x14ac:dyDescent="0.2">
      <c r="A61" s="362" t="s">
        <v>103</v>
      </c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56" t="s">
        <v>104</v>
      </c>
      <c r="X61" s="356"/>
      <c r="Y61" s="356"/>
      <c r="Z61" s="356"/>
      <c r="AA61" s="372">
        <v>2572.1999999999998</v>
      </c>
      <c r="AB61" s="372"/>
      <c r="AC61" s="372"/>
      <c r="AD61" s="372"/>
      <c r="AE61" s="372"/>
      <c r="AF61" s="372"/>
      <c r="AG61" s="372"/>
      <c r="AH61" s="372"/>
      <c r="AI61" s="372">
        <v>1165.7</v>
      </c>
      <c r="AJ61" s="372"/>
      <c r="AK61" s="372"/>
      <c r="AL61" s="372"/>
      <c r="AM61" s="372"/>
      <c r="AN61" s="372"/>
      <c r="AO61" s="372"/>
    </row>
    <row r="62" spans="1:42" ht="13.5" customHeight="1" x14ac:dyDescent="0.2">
      <c r="A62" s="362" t="s">
        <v>105</v>
      </c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3" t="s">
        <v>106</v>
      </c>
      <c r="X62" s="363"/>
      <c r="Y62" s="363"/>
      <c r="Z62" s="363"/>
      <c r="AA62" s="357" t="s">
        <v>107</v>
      </c>
      <c r="AB62" s="358"/>
      <c r="AC62" s="358"/>
      <c r="AD62" s="358"/>
      <c r="AE62" s="358"/>
      <c r="AF62" s="358"/>
      <c r="AG62" s="358"/>
      <c r="AH62" s="359"/>
      <c r="AI62" s="360" t="s">
        <v>108</v>
      </c>
      <c r="AJ62" s="360"/>
      <c r="AK62" s="360"/>
      <c r="AL62" s="360"/>
      <c r="AM62" s="360"/>
      <c r="AN62" s="360"/>
      <c r="AO62" s="360"/>
    </row>
    <row r="63" spans="1:42" ht="13.5" customHeight="1" x14ac:dyDescent="0.2">
      <c r="A63" s="362" t="s">
        <v>109</v>
      </c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3" t="s">
        <v>110</v>
      </c>
      <c r="X63" s="363"/>
      <c r="Y63" s="363"/>
      <c r="Z63" s="363"/>
      <c r="AA63" s="357" t="s">
        <v>111</v>
      </c>
      <c r="AB63" s="358"/>
      <c r="AC63" s="358"/>
      <c r="AD63" s="358"/>
      <c r="AE63" s="358"/>
      <c r="AF63" s="358"/>
      <c r="AG63" s="358"/>
      <c r="AH63" s="359"/>
      <c r="AI63" s="360" t="s">
        <v>112</v>
      </c>
      <c r="AJ63" s="360"/>
      <c r="AK63" s="360"/>
      <c r="AL63" s="360"/>
      <c r="AM63" s="360"/>
      <c r="AN63" s="360"/>
      <c r="AO63" s="360"/>
    </row>
    <row r="64" spans="1:42" ht="13.5" customHeight="1" x14ac:dyDescent="0.2">
      <c r="A64" s="362" t="s">
        <v>113</v>
      </c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56" t="s">
        <v>114</v>
      </c>
      <c r="X64" s="356"/>
      <c r="Y64" s="356"/>
      <c r="Z64" s="356"/>
      <c r="AA64" s="357" t="s">
        <v>115</v>
      </c>
      <c r="AB64" s="358"/>
      <c r="AC64" s="358"/>
      <c r="AD64" s="358"/>
      <c r="AE64" s="358"/>
      <c r="AF64" s="358"/>
      <c r="AG64" s="358"/>
      <c r="AH64" s="359"/>
      <c r="AI64" s="360" t="s">
        <v>116</v>
      </c>
      <c r="AJ64" s="360"/>
      <c r="AK64" s="360"/>
      <c r="AL64" s="360"/>
      <c r="AM64" s="360"/>
      <c r="AN64" s="360"/>
      <c r="AO64" s="360"/>
    </row>
    <row r="65" spans="1:41" x14ac:dyDescent="0.2">
      <c r="A65" s="362" t="s">
        <v>117</v>
      </c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3" t="s">
        <v>118</v>
      </c>
      <c r="X65" s="363"/>
      <c r="Y65" s="363"/>
      <c r="Z65" s="363"/>
      <c r="AA65" s="357" t="s">
        <v>119</v>
      </c>
      <c r="AB65" s="358"/>
      <c r="AC65" s="358"/>
      <c r="AD65" s="358"/>
      <c r="AE65" s="358"/>
      <c r="AF65" s="358"/>
      <c r="AG65" s="358"/>
      <c r="AH65" s="359"/>
      <c r="AI65" s="360" t="s">
        <v>120</v>
      </c>
      <c r="AJ65" s="360"/>
      <c r="AK65" s="360"/>
      <c r="AL65" s="360"/>
      <c r="AM65" s="360"/>
      <c r="AN65" s="360"/>
      <c r="AO65" s="360"/>
    </row>
    <row r="66" spans="1:41" x14ac:dyDescent="0.2">
      <c r="A66" s="362" t="s">
        <v>121</v>
      </c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3" t="s">
        <v>122</v>
      </c>
      <c r="X66" s="363"/>
      <c r="Y66" s="363"/>
      <c r="Z66" s="363"/>
      <c r="AA66" s="357" t="s">
        <v>123</v>
      </c>
      <c r="AB66" s="358"/>
      <c r="AC66" s="358"/>
      <c r="AD66" s="358"/>
      <c r="AE66" s="358"/>
      <c r="AF66" s="358"/>
      <c r="AG66" s="358"/>
      <c r="AH66" s="359"/>
      <c r="AI66" s="360" t="s">
        <v>124</v>
      </c>
      <c r="AJ66" s="360"/>
      <c r="AK66" s="360"/>
      <c r="AL66" s="360"/>
      <c r="AM66" s="360"/>
      <c r="AN66" s="360"/>
      <c r="AO66" s="360"/>
    </row>
    <row r="67" spans="1:41" x14ac:dyDescent="0.2">
      <c r="A67" s="362" t="s">
        <v>125</v>
      </c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3" t="s">
        <v>126</v>
      </c>
      <c r="X67" s="363"/>
      <c r="Y67" s="363"/>
      <c r="Z67" s="363"/>
      <c r="AA67" s="364"/>
      <c r="AB67" s="365"/>
      <c r="AC67" s="365"/>
      <c r="AD67" s="365"/>
      <c r="AE67" s="365"/>
      <c r="AF67" s="365"/>
      <c r="AG67" s="365"/>
      <c r="AH67" s="366"/>
      <c r="AI67" s="367"/>
      <c r="AJ67" s="367"/>
      <c r="AK67" s="367"/>
      <c r="AL67" s="367"/>
      <c r="AM67" s="367"/>
      <c r="AN67" s="367"/>
      <c r="AO67" s="367"/>
    </row>
    <row r="68" spans="1:41" x14ac:dyDescent="0.2">
      <c r="A68" s="355" t="s">
        <v>127</v>
      </c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6" t="s">
        <v>128</v>
      </c>
      <c r="X68" s="356"/>
      <c r="Y68" s="356"/>
      <c r="Z68" s="356"/>
      <c r="AA68" s="357" t="s">
        <v>129</v>
      </c>
      <c r="AB68" s="358"/>
      <c r="AC68" s="358"/>
      <c r="AD68" s="358"/>
      <c r="AE68" s="358"/>
      <c r="AF68" s="358"/>
      <c r="AG68" s="358"/>
      <c r="AH68" s="359"/>
      <c r="AI68" s="360" t="s">
        <v>130</v>
      </c>
      <c r="AJ68" s="360"/>
      <c r="AK68" s="360"/>
      <c r="AL68" s="360"/>
      <c r="AM68" s="360"/>
      <c r="AN68" s="360"/>
      <c r="AO68" s="360"/>
    </row>
    <row r="70" spans="1:41" x14ac:dyDescent="0.2">
      <c r="B70" s="352" t="s">
        <v>131</v>
      </c>
      <c r="C70" s="352"/>
      <c r="D70" s="352"/>
      <c r="E70" s="352"/>
      <c r="F70" s="352"/>
      <c r="G70" s="352"/>
      <c r="H70" s="352"/>
      <c r="I70" s="352"/>
      <c r="Q70" s="2"/>
      <c r="R70" s="2"/>
      <c r="S70" s="354"/>
      <c r="T70" s="354"/>
      <c r="U70" s="354"/>
      <c r="V70" s="354"/>
      <c r="AI70" s="361" t="s">
        <v>132</v>
      </c>
      <c r="AJ70" s="361"/>
      <c r="AK70" s="361"/>
      <c r="AL70" s="361"/>
      <c r="AM70" s="361"/>
      <c r="AN70" s="361"/>
    </row>
    <row r="71" spans="1:41" x14ac:dyDescent="0.2">
      <c r="Q71" s="2"/>
      <c r="R71" s="2"/>
      <c r="S71" s="351" t="s">
        <v>133</v>
      </c>
      <c r="T71" s="351"/>
      <c r="U71" s="351"/>
      <c r="V71" s="351"/>
      <c r="W71" s="6"/>
      <c r="X71" s="6"/>
      <c r="AI71" s="351" t="s">
        <v>134</v>
      </c>
      <c r="AJ71" s="351"/>
      <c r="AK71" s="351"/>
      <c r="AL71" s="351"/>
      <c r="AM71" s="351"/>
      <c r="AN71" s="351"/>
    </row>
    <row r="72" spans="1:41" x14ac:dyDescent="0.2">
      <c r="Q72" s="2"/>
      <c r="R72" s="2"/>
      <c r="S72" s="352"/>
      <c r="T72" s="352"/>
      <c r="U72" s="352"/>
      <c r="V72" s="352"/>
      <c r="AI72" s="353"/>
      <c r="AJ72" s="353"/>
      <c r="AK72" s="353"/>
      <c r="AL72" s="353"/>
      <c r="AM72" s="353"/>
      <c r="AN72" s="353"/>
    </row>
    <row r="73" spans="1:41" x14ac:dyDescent="0.2">
      <c r="B73" s="352" t="s">
        <v>135</v>
      </c>
      <c r="C73" s="352"/>
      <c r="D73" s="352"/>
      <c r="E73" s="352"/>
      <c r="F73" s="352"/>
      <c r="G73" s="352"/>
      <c r="H73" s="352"/>
      <c r="I73" s="352"/>
      <c r="Q73" s="2"/>
      <c r="R73" s="2"/>
      <c r="S73" s="354"/>
      <c r="T73" s="354"/>
      <c r="U73" s="354"/>
      <c r="V73" s="354"/>
      <c r="AI73" s="17" t="s">
        <v>136</v>
      </c>
      <c r="AJ73" s="17"/>
      <c r="AK73" s="17"/>
      <c r="AL73" s="17"/>
      <c r="AM73" s="17"/>
      <c r="AN73" s="17"/>
      <c r="AO73" s="18"/>
    </row>
    <row r="74" spans="1:41" x14ac:dyDescent="0.2">
      <c r="Q74" s="2"/>
      <c r="R74" s="2"/>
      <c r="S74" s="351" t="s">
        <v>133</v>
      </c>
      <c r="T74" s="351"/>
      <c r="U74" s="351"/>
      <c r="V74" s="351"/>
      <c r="W74" s="6"/>
      <c r="X74" s="6"/>
      <c r="AI74" s="351" t="s">
        <v>134</v>
      </c>
      <c r="AJ74" s="351"/>
      <c r="AK74" s="351"/>
      <c r="AL74" s="351"/>
      <c r="AM74" s="351"/>
      <c r="AN74" s="351"/>
    </row>
    <row r="76" spans="1:4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41" x14ac:dyDescent="0.2">
      <c r="U77" s="2"/>
      <c r="V77" s="2"/>
      <c r="W77" s="2"/>
      <c r="X77" s="2"/>
    </row>
    <row r="78" spans="1:41" x14ac:dyDescent="0.2">
      <c r="U78" s="2"/>
      <c r="V78" s="2"/>
      <c r="W78" s="2"/>
      <c r="X78" s="2"/>
    </row>
    <row r="79" spans="1:41" x14ac:dyDescent="0.2">
      <c r="U79" s="2"/>
      <c r="V79" s="2"/>
      <c r="W79" s="2"/>
      <c r="X79" s="2"/>
    </row>
    <row r="80" spans="1:41" x14ac:dyDescent="0.2">
      <c r="U80" s="2"/>
      <c r="V80" s="2"/>
      <c r="W80" s="2"/>
      <c r="X80" s="2"/>
    </row>
    <row r="99" spans="1:29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</sheetData>
  <mergeCells count="229">
    <mergeCell ref="W1:AO1"/>
    <mergeCell ref="A3:AO3"/>
    <mergeCell ref="AJ4:AO4"/>
    <mergeCell ref="A5:AF5"/>
    <mergeCell ref="AJ5:AK5"/>
    <mergeCell ref="AL5:AM5"/>
    <mergeCell ref="AN5:AO5"/>
    <mergeCell ref="AJ8:AO8"/>
    <mergeCell ref="A9:M9"/>
    <mergeCell ref="N9:Z9"/>
    <mergeCell ref="AB9:AG9"/>
    <mergeCell ref="AJ9:AO9"/>
    <mergeCell ref="A6:F6"/>
    <mergeCell ref="G6:Z6"/>
    <mergeCell ref="AB6:AG6"/>
    <mergeCell ref="AJ6:AO6"/>
    <mergeCell ref="A7:D7"/>
    <mergeCell ref="E7:Z7"/>
    <mergeCell ref="AB7:AG7"/>
    <mergeCell ref="AJ7:AO7"/>
    <mergeCell ref="A10:M10"/>
    <mergeCell ref="N10:Z10"/>
    <mergeCell ref="A11:Z11"/>
    <mergeCell ref="A12:Z12"/>
    <mergeCell ref="G14:P14"/>
    <mergeCell ref="T14:Y14"/>
    <mergeCell ref="Z14:AG14"/>
    <mergeCell ref="A8:I8"/>
    <mergeCell ref="J8:Z8"/>
    <mergeCell ref="AB8:AG8"/>
    <mergeCell ref="A18:V18"/>
    <mergeCell ref="W18:Z18"/>
    <mergeCell ref="AA18:AH18"/>
    <mergeCell ref="AI18:AO18"/>
    <mergeCell ref="A19:V19"/>
    <mergeCell ref="W19:Z19"/>
    <mergeCell ref="AA19:AH19"/>
    <mergeCell ref="AI19:AO19"/>
    <mergeCell ref="AI14:AO14"/>
    <mergeCell ref="G15:P15"/>
    <mergeCell ref="A17:V17"/>
    <mergeCell ref="W17:Z17"/>
    <mergeCell ref="AA17:AH17"/>
    <mergeCell ref="AI17:AO17"/>
    <mergeCell ref="A22:V22"/>
    <mergeCell ref="W22:Z22"/>
    <mergeCell ref="AA22:AH22"/>
    <mergeCell ref="AI22:AO22"/>
    <mergeCell ref="A23:V23"/>
    <mergeCell ref="W23:Z23"/>
    <mergeCell ref="AA23:AH23"/>
    <mergeCell ref="AI23:AO23"/>
    <mergeCell ref="A20:V20"/>
    <mergeCell ref="W20:Z20"/>
    <mergeCell ref="AA20:AH20"/>
    <mergeCell ref="AI20:AO20"/>
    <mergeCell ref="A21:V21"/>
    <mergeCell ref="W21:Z21"/>
    <mergeCell ref="AA21:AH21"/>
    <mergeCell ref="AI21:AO21"/>
    <mergeCell ref="A26:V26"/>
    <mergeCell ref="W26:Z26"/>
    <mergeCell ref="AA26:AH26"/>
    <mergeCell ref="AI26:AO26"/>
    <mergeCell ref="A27:V27"/>
    <mergeCell ref="W27:Z27"/>
    <mergeCell ref="AA27:AH27"/>
    <mergeCell ref="AI27:AO27"/>
    <mergeCell ref="A24:V24"/>
    <mergeCell ref="W24:Z24"/>
    <mergeCell ref="AA24:AH24"/>
    <mergeCell ref="AI24:AO24"/>
    <mergeCell ref="A25:V25"/>
    <mergeCell ref="W25:Z25"/>
    <mergeCell ref="AA25:AH25"/>
    <mergeCell ref="AI25:AO25"/>
    <mergeCell ref="A30:V30"/>
    <mergeCell ref="W30:Z30"/>
    <mergeCell ref="AA30:AH30"/>
    <mergeCell ref="AI30:AO30"/>
    <mergeCell ref="A31:V31"/>
    <mergeCell ref="W31:Z31"/>
    <mergeCell ref="AA31:AH31"/>
    <mergeCell ref="AI31:AO31"/>
    <mergeCell ref="A28:V28"/>
    <mergeCell ref="W28:Z28"/>
    <mergeCell ref="AA28:AH28"/>
    <mergeCell ref="AI28:AO28"/>
    <mergeCell ref="A29:V29"/>
    <mergeCell ref="W29:Z29"/>
    <mergeCell ref="AA29:AH29"/>
    <mergeCell ref="AI29:AO29"/>
    <mergeCell ref="A32:AO32"/>
    <mergeCell ref="A33:V33"/>
    <mergeCell ref="W33:Z33"/>
    <mergeCell ref="AA33:AH33"/>
    <mergeCell ref="AI33:AO33"/>
    <mergeCell ref="A34:V34"/>
    <mergeCell ref="W34:Z34"/>
    <mergeCell ref="AA34:AH34"/>
    <mergeCell ref="AI34:AO34"/>
    <mergeCell ref="A37:V37"/>
    <mergeCell ref="W37:Z37"/>
    <mergeCell ref="AA37:AH37"/>
    <mergeCell ref="AI37:AO37"/>
    <mergeCell ref="A38:V38"/>
    <mergeCell ref="W38:Z38"/>
    <mergeCell ref="AA38:AH38"/>
    <mergeCell ref="AI38:AO38"/>
    <mergeCell ref="A35:V35"/>
    <mergeCell ref="W35:Z35"/>
    <mergeCell ref="AA35:AH35"/>
    <mergeCell ref="AI35:AO35"/>
    <mergeCell ref="A36:V36"/>
    <mergeCell ref="W36:Z36"/>
    <mergeCell ref="AA36:AH36"/>
    <mergeCell ref="AI36:AO36"/>
    <mergeCell ref="A41:V41"/>
    <mergeCell ref="W41:Z41"/>
    <mergeCell ref="AA41:AH41"/>
    <mergeCell ref="AI41:AO41"/>
    <mergeCell ref="A42:V42"/>
    <mergeCell ref="W42:Z42"/>
    <mergeCell ref="AA42:AH42"/>
    <mergeCell ref="AI42:AO42"/>
    <mergeCell ref="A39:V39"/>
    <mergeCell ref="W39:Z39"/>
    <mergeCell ref="AA39:AH39"/>
    <mergeCell ref="AI39:AO39"/>
    <mergeCell ref="A40:V40"/>
    <mergeCell ref="W40:Z40"/>
    <mergeCell ref="AA40:AH40"/>
    <mergeCell ref="AI40:AO40"/>
    <mergeCell ref="A45:V45"/>
    <mergeCell ref="W45:Z45"/>
    <mergeCell ref="AA45:AH45"/>
    <mergeCell ref="AI45:AO45"/>
    <mergeCell ref="A46:V46"/>
    <mergeCell ref="W46:Z46"/>
    <mergeCell ref="AA46:AH46"/>
    <mergeCell ref="AI46:AO46"/>
    <mergeCell ref="A43:V43"/>
    <mergeCell ref="W43:Z43"/>
    <mergeCell ref="AA43:AH43"/>
    <mergeCell ref="AI43:AO43"/>
    <mergeCell ref="A44:V44"/>
    <mergeCell ref="W44:Z44"/>
    <mergeCell ref="AA44:AH44"/>
    <mergeCell ref="AI44:AO44"/>
    <mergeCell ref="A49:V49"/>
    <mergeCell ref="W49:Z49"/>
    <mergeCell ref="AA49:AH49"/>
    <mergeCell ref="AI49:AO49"/>
    <mergeCell ref="A50:V50"/>
    <mergeCell ref="W50:Z50"/>
    <mergeCell ref="AA50:AH50"/>
    <mergeCell ref="AI50:AO50"/>
    <mergeCell ref="A47:V47"/>
    <mergeCell ref="W47:Z47"/>
    <mergeCell ref="AA47:AH47"/>
    <mergeCell ref="AI47:AO47"/>
    <mergeCell ref="A48:V48"/>
    <mergeCell ref="W48:Z48"/>
    <mergeCell ref="AA48:AH48"/>
    <mergeCell ref="AI48:AO48"/>
    <mergeCell ref="A58:V58"/>
    <mergeCell ref="W58:Z58"/>
    <mergeCell ref="AA58:AH58"/>
    <mergeCell ref="AI58:AO58"/>
    <mergeCell ref="A59:V59"/>
    <mergeCell ref="W59:Z59"/>
    <mergeCell ref="AA59:AH59"/>
    <mergeCell ref="AI59:AO59"/>
    <mergeCell ref="A52:AO52"/>
    <mergeCell ref="A53:AO53"/>
    <mergeCell ref="Z54:AG54"/>
    <mergeCell ref="Z55:AG55"/>
    <mergeCell ref="AI55:AN55"/>
    <mergeCell ref="A57:V57"/>
    <mergeCell ref="W57:Z57"/>
    <mergeCell ref="AA57:AH57"/>
    <mergeCell ref="AI57:AO57"/>
    <mergeCell ref="A62:V62"/>
    <mergeCell ref="W62:Z62"/>
    <mergeCell ref="AA62:AH62"/>
    <mergeCell ref="AI62:AO62"/>
    <mergeCell ref="A63:V63"/>
    <mergeCell ref="W63:Z63"/>
    <mergeCell ref="AA63:AH63"/>
    <mergeCell ref="AI63:AO63"/>
    <mergeCell ref="A60:V60"/>
    <mergeCell ref="W60:Z60"/>
    <mergeCell ref="AA60:AH60"/>
    <mergeCell ref="AI60:AO60"/>
    <mergeCell ref="A61:V61"/>
    <mergeCell ref="W61:Z61"/>
    <mergeCell ref="AA61:AH61"/>
    <mergeCell ref="AI61:AO61"/>
    <mergeCell ref="A66:V66"/>
    <mergeCell ref="W66:Z66"/>
    <mergeCell ref="AA66:AH66"/>
    <mergeCell ref="AI66:AO66"/>
    <mergeCell ref="A67:V67"/>
    <mergeCell ref="W67:Z67"/>
    <mergeCell ref="AA67:AH67"/>
    <mergeCell ref="AI67:AO67"/>
    <mergeCell ref="A64:V64"/>
    <mergeCell ref="W64:Z64"/>
    <mergeCell ref="AA64:AH64"/>
    <mergeCell ref="AI64:AO64"/>
    <mergeCell ref="A65:V65"/>
    <mergeCell ref="W65:Z65"/>
    <mergeCell ref="AA65:AH65"/>
    <mergeCell ref="AI65:AO65"/>
    <mergeCell ref="S74:V74"/>
    <mergeCell ref="AI74:AN74"/>
    <mergeCell ref="S71:V71"/>
    <mergeCell ref="AI71:AN71"/>
    <mergeCell ref="S72:V72"/>
    <mergeCell ref="AI72:AN72"/>
    <mergeCell ref="B73:I73"/>
    <mergeCell ref="S73:V73"/>
    <mergeCell ref="A68:V68"/>
    <mergeCell ref="W68:Z68"/>
    <mergeCell ref="AA68:AH68"/>
    <mergeCell ref="AI68:AO68"/>
    <mergeCell ref="B70:I70"/>
    <mergeCell ref="S70:V70"/>
    <mergeCell ref="AI70:AN70"/>
  </mergeCells>
  <pageMargins left="0.25" right="0.25" top="0.75" bottom="0.75" header="0.3" footer="0.3"/>
  <pageSetup paperSize="9" fitToHeight="0" orientation="portrait" verticalDpi="0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zoomScale="85" zoomScaleNormal="85" workbookViewId="0">
      <selection activeCell="L29" sqref="L29"/>
    </sheetView>
  </sheetViews>
  <sheetFormatPr defaultRowHeight="12.75" x14ac:dyDescent="0.2"/>
  <cols>
    <col min="1" max="1" width="11.85546875" style="87" customWidth="1"/>
    <col min="2" max="2" width="33.85546875" style="87" customWidth="1"/>
    <col min="3" max="3" width="12.140625" style="87" customWidth="1"/>
    <col min="4" max="4" width="11.28515625" style="87" customWidth="1"/>
    <col min="5" max="6" width="10.85546875" style="87" customWidth="1"/>
    <col min="7" max="7" width="10.28515625" style="87" customWidth="1"/>
    <col min="8" max="8" width="15" style="87" customWidth="1"/>
    <col min="9" max="9" width="18.42578125" style="87" customWidth="1"/>
    <col min="10" max="256" width="9.140625" style="87"/>
    <col min="257" max="257" width="11.85546875" style="87" customWidth="1"/>
    <col min="258" max="258" width="33.85546875" style="87" customWidth="1"/>
    <col min="259" max="259" width="12.140625" style="87" customWidth="1"/>
    <col min="260" max="260" width="11.28515625" style="87" customWidth="1"/>
    <col min="261" max="262" width="10.85546875" style="87" customWidth="1"/>
    <col min="263" max="263" width="10.28515625" style="87" customWidth="1"/>
    <col min="264" max="264" width="15" style="87" customWidth="1"/>
    <col min="265" max="265" width="18.42578125" style="87" customWidth="1"/>
    <col min="266" max="512" width="9.140625" style="87"/>
    <col min="513" max="513" width="11.85546875" style="87" customWidth="1"/>
    <col min="514" max="514" width="33.85546875" style="87" customWidth="1"/>
    <col min="515" max="515" width="12.140625" style="87" customWidth="1"/>
    <col min="516" max="516" width="11.28515625" style="87" customWidth="1"/>
    <col min="517" max="518" width="10.85546875" style="87" customWidth="1"/>
    <col min="519" max="519" width="10.28515625" style="87" customWidth="1"/>
    <col min="520" max="520" width="15" style="87" customWidth="1"/>
    <col min="521" max="521" width="18.42578125" style="87" customWidth="1"/>
    <col min="522" max="768" width="9.140625" style="87"/>
    <col min="769" max="769" width="11.85546875" style="87" customWidth="1"/>
    <col min="770" max="770" width="33.85546875" style="87" customWidth="1"/>
    <col min="771" max="771" width="12.140625" style="87" customWidth="1"/>
    <col min="772" max="772" width="11.28515625" style="87" customWidth="1"/>
    <col min="773" max="774" width="10.85546875" style="87" customWidth="1"/>
    <col min="775" max="775" width="10.28515625" style="87" customWidth="1"/>
    <col min="776" max="776" width="15" style="87" customWidth="1"/>
    <col min="777" max="777" width="18.42578125" style="87" customWidth="1"/>
    <col min="778" max="1024" width="9.140625" style="87"/>
    <col min="1025" max="1025" width="11.85546875" style="87" customWidth="1"/>
    <col min="1026" max="1026" width="33.85546875" style="87" customWidth="1"/>
    <col min="1027" max="1027" width="12.140625" style="87" customWidth="1"/>
    <col min="1028" max="1028" width="11.28515625" style="87" customWidth="1"/>
    <col min="1029" max="1030" width="10.85546875" style="87" customWidth="1"/>
    <col min="1031" max="1031" width="10.28515625" style="87" customWidth="1"/>
    <col min="1032" max="1032" width="15" style="87" customWidth="1"/>
    <col min="1033" max="1033" width="18.42578125" style="87" customWidth="1"/>
    <col min="1034" max="1280" width="9.140625" style="87"/>
    <col min="1281" max="1281" width="11.85546875" style="87" customWidth="1"/>
    <col min="1282" max="1282" width="33.85546875" style="87" customWidth="1"/>
    <col min="1283" max="1283" width="12.140625" style="87" customWidth="1"/>
    <col min="1284" max="1284" width="11.28515625" style="87" customWidth="1"/>
    <col min="1285" max="1286" width="10.85546875" style="87" customWidth="1"/>
    <col min="1287" max="1287" width="10.28515625" style="87" customWidth="1"/>
    <col min="1288" max="1288" width="15" style="87" customWidth="1"/>
    <col min="1289" max="1289" width="18.42578125" style="87" customWidth="1"/>
    <col min="1290" max="1536" width="9.140625" style="87"/>
    <col min="1537" max="1537" width="11.85546875" style="87" customWidth="1"/>
    <col min="1538" max="1538" width="33.85546875" style="87" customWidth="1"/>
    <col min="1539" max="1539" width="12.140625" style="87" customWidth="1"/>
    <col min="1540" max="1540" width="11.28515625" style="87" customWidth="1"/>
    <col min="1541" max="1542" width="10.85546875" style="87" customWidth="1"/>
    <col min="1543" max="1543" width="10.28515625" style="87" customWidth="1"/>
    <col min="1544" max="1544" width="15" style="87" customWidth="1"/>
    <col min="1545" max="1545" width="18.42578125" style="87" customWidth="1"/>
    <col min="1546" max="1792" width="9.140625" style="87"/>
    <col min="1793" max="1793" width="11.85546875" style="87" customWidth="1"/>
    <col min="1794" max="1794" width="33.85546875" style="87" customWidth="1"/>
    <col min="1795" max="1795" width="12.140625" style="87" customWidth="1"/>
    <col min="1796" max="1796" width="11.28515625" style="87" customWidth="1"/>
    <col min="1797" max="1798" width="10.85546875" style="87" customWidth="1"/>
    <col min="1799" max="1799" width="10.28515625" style="87" customWidth="1"/>
    <col min="1800" max="1800" width="15" style="87" customWidth="1"/>
    <col min="1801" max="1801" width="18.42578125" style="87" customWidth="1"/>
    <col min="1802" max="2048" width="9.140625" style="87"/>
    <col min="2049" max="2049" width="11.85546875" style="87" customWidth="1"/>
    <col min="2050" max="2050" width="33.85546875" style="87" customWidth="1"/>
    <col min="2051" max="2051" width="12.140625" style="87" customWidth="1"/>
    <col min="2052" max="2052" width="11.28515625" style="87" customWidth="1"/>
    <col min="2053" max="2054" width="10.85546875" style="87" customWidth="1"/>
    <col min="2055" max="2055" width="10.28515625" style="87" customWidth="1"/>
    <col min="2056" max="2056" width="15" style="87" customWidth="1"/>
    <col min="2057" max="2057" width="18.42578125" style="87" customWidth="1"/>
    <col min="2058" max="2304" width="9.140625" style="87"/>
    <col min="2305" max="2305" width="11.85546875" style="87" customWidth="1"/>
    <col min="2306" max="2306" width="33.85546875" style="87" customWidth="1"/>
    <col min="2307" max="2307" width="12.140625" style="87" customWidth="1"/>
    <col min="2308" max="2308" width="11.28515625" style="87" customWidth="1"/>
    <col min="2309" max="2310" width="10.85546875" style="87" customWidth="1"/>
    <col min="2311" max="2311" width="10.28515625" style="87" customWidth="1"/>
    <col min="2312" max="2312" width="15" style="87" customWidth="1"/>
    <col min="2313" max="2313" width="18.42578125" style="87" customWidth="1"/>
    <col min="2314" max="2560" width="9.140625" style="87"/>
    <col min="2561" max="2561" width="11.85546875" style="87" customWidth="1"/>
    <col min="2562" max="2562" width="33.85546875" style="87" customWidth="1"/>
    <col min="2563" max="2563" width="12.140625" style="87" customWidth="1"/>
    <col min="2564" max="2564" width="11.28515625" style="87" customWidth="1"/>
    <col min="2565" max="2566" width="10.85546875" style="87" customWidth="1"/>
    <col min="2567" max="2567" width="10.28515625" style="87" customWidth="1"/>
    <col min="2568" max="2568" width="15" style="87" customWidth="1"/>
    <col min="2569" max="2569" width="18.42578125" style="87" customWidth="1"/>
    <col min="2570" max="2816" width="9.140625" style="87"/>
    <col min="2817" max="2817" width="11.85546875" style="87" customWidth="1"/>
    <col min="2818" max="2818" width="33.85546875" style="87" customWidth="1"/>
    <col min="2819" max="2819" width="12.140625" style="87" customWidth="1"/>
    <col min="2820" max="2820" width="11.28515625" style="87" customWidth="1"/>
    <col min="2821" max="2822" width="10.85546875" style="87" customWidth="1"/>
    <col min="2823" max="2823" width="10.28515625" style="87" customWidth="1"/>
    <col min="2824" max="2824" width="15" style="87" customWidth="1"/>
    <col min="2825" max="2825" width="18.42578125" style="87" customWidth="1"/>
    <col min="2826" max="3072" width="9.140625" style="87"/>
    <col min="3073" max="3073" width="11.85546875" style="87" customWidth="1"/>
    <col min="3074" max="3074" width="33.85546875" style="87" customWidth="1"/>
    <col min="3075" max="3075" width="12.140625" style="87" customWidth="1"/>
    <col min="3076" max="3076" width="11.28515625" style="87" customWidth="1"/>
    <col min="3077" max="3078" width="10.85546875" style="87" customWidth="1"/>
    <col min="3079" max="3079" width="10.28515625" style="87" customWidth="1"/>
    <col min="3080" max="3080" width="15" style="87" customWidth="1"/>
    <col min="3081" max="3081" width="18.42578125" style="87" customWidth="1"/>
    <col min="3082" max="3328" width="9.140625" style="87"/>
    <col min="3329" max="3329" width="11.85546875" style="87" customWidth="1"/>
    <col min="3330" max="3330" width="33.85546875" style="87" customWidth="1"/>
    <col min="3331" max="3331" width="12.140625" style="87" customWidth="1"/>
    <col min="3332" max="3332" width="11.28515625" style="87" customWidth="1"/>
    <col min="3333" max="3334" width="10.85546875" style="87" customWidth="1"/>
    <col min="3335" max="3335" width="10.28515625" style="87" customWidth="1"/>
    <col min="3336" max="3336" width="15" style="87" customWidth="1"/>
    <col min="3337" max="3337" width="18.42578125" style="87" customWidth="1"/>
    <col min="3338" max="3584" width="9.140625" style="87"/>
    <col min="3585" max="3585" width="11.85546875" style="87" customWidth="1"/>
    <col min="3586" max="3586" width="33.85546875" style="87" customWidth="1"/>
    <col min="3587" max="3587" width="12.140625" style="87" customWidth="1"/>
    <col min="3588" max="3588" width="11.28515625" style="87" customWidth="1"/>
    <col min="3589" max="3590" width="10.85546875" style="87" customWidth="1"/>
    <col min="3591" max="3591" width="10.28515625" style="87" customWidth="1"/>
    <col min="3592" max="3592" width="15" style="87" customWidth="1"/>
    <col min="3593" max="3593" width="18.42578125" style="87" customWidth="1"/>
    <col min="3594" max="3840" width="9.140625" style="87"/>
    <col min="3841" max="3841" width="11.85546875" style="87" customWidth="1"/>
    <col min="3842" max="3842" width="33.85546875" style="87" customWidth="1"/>
    <col min="3843" max="3843" width="12.140625" style="87" customWidth="1"/>
    <col min="3844" max="3844" width="11.28515625" style="87" customWidth="1"/>
    <col min="3845" max="3846" width="10.85546875" style="87" customWidth="1"/>
    <col min="3847" max="3847" width="10.28515625" style="87" customWidth="1"/>
    <col min="3848" max="3848" width="15" style="87" customWidth="1"/>
    <col min="3849" max="3849" width="18.42578125" style="87" customWidth="1"/>
    <col min="3850" max="4096" width="9.140625" style="87"/>
    <col min="4097" max="4097" width="11.85546875" style="87" customWidth="1"/>
    <col min="4098" max="4098" width="33.85546875" style="87" customWidth="1"/>
    <col min="4099" max="4099" width="12.140625" style="87" customWidth="1"/>
    <col min="4100" max="4100" width="11.28515625" style="87" customWidth="1"/>
    <col min="4101" max="4102" width="10.85546875" style="87" customWidth="1"/>
    <col min="4103" max="4103" width="10.28515625" style="87" customWidth="1"/>
    <col min="4104" max="4104" width="15" style="87" customWidth="1"/>
    <col min="4105" max="4105" width="18.42578125" style="87" customWidth="1"/>
    <col min="4106" max="4352" width="9.140625" style="87"/>
    <col min="4353" max="4353" width="11.85546875" style="87" customWidth="1"/>
    <col min="4354" max="4354" width="33.85546875" style="87" customWidth="1"/>
    <col min="4355" max="4355" width="12.140625" style="87" customWidth="1"/>
    <col min="4356" max="4356" width="11.28515625" style="87" customWidth="1"/>
    <col min="4357" max="4358" width="10.85546875" style="87" customWidth="1"/>
    <col min="4359" max="4359" width="10.28515625" style="87" customWidth="1"/>
    <col min="4360" max="4360" width="15" style="87" customWidth="1"/>
    <col min="4361" max="4361" width="18.42578125" style="87" customWidth="1"/>
    <col min="4362" max="4608" width="9.140625" style="87"/>
    <col min="4609" max="4609" width="11.85546875" style="87" customWidth="1"/>
    <col min="4610" max="4610" width="33.85546875" style="87" customWidth="1"/>
    <col min="4611" max="4611" width="12.140625" style="87" customWidth="1"/>
    <col min="4612" max="4612" width="11.28515625" style="87" customWidth="1"/>
    <col min="4613" max="4614" width="10.85546875" style="87" customWidth="1"/>
    <col min="4615" max="4615" width="10.28515625" style="87" customWidth="1"/>
    <col min="4616" max="4616" width="15" style="87" customWidth="1"/>
    <col min="4617" max="4617" width="18.42578125" style="87" customWidth="1"/>
    <col min="4618" max="4864" width="9.140625" style="87"/>
    <col min="4865" max="4865" width="11.85546875" style="87" customWidth="1"/>
    <col min="4866" max="4866" width="33.85546875" style="87" customWidth="1"/>
    <col min="4867" max="4867" width="12.140625" style="87" customWidth="1"/>
    <col min="4868" max="4868" width="11.28515625" style="87" customWidth="1"/>
    <col min="4869" max="4870" width="10.85546875" style="87" customWidth="1"/>
    <col min="4871" max="4871" width="10.28515625" style="87" customWidth="1"/>
    <col min="4872" max="4872" width="15" style="87" customWidth="1"/>
    <col min="4873" max="4873" width="18.42578125" style="87" customWidth="1"/>
    <col min="4874" max="5120" width="9.140625" style="87"/>
    <col min="5121" max="5121" width="11.85546875" style="87" customWidth="1"/>
    <col min="5122" max="5122" width="33.85546875" style="87" customWidth="1"/>
    <col min="5123" max="5123" width="12.140625" style="87" customWidth="1"/>
    <col min="5124" max="5124" width="11.28515625" style="87" customWidth="1"/>
    <col min="5125" max="5126" width="10.85546875" style="87" customWidth="1"/>
    <col min="5127" max="5127" width="10.28515625" style="87" customWidth="1"/>
    <col min="5128" max="5128" width="15" style="87" customWidth="1"/>
    <col min="5129" max="5129" width="18.42578125" style="87" customWidth="1"/>
    <col min="5130" max="5376" width="9.140625" style="87"/>
    <col min="5377" max="5377" width="11.85546875" style="87" customWidth="1"/>
    <col min="5378" max="5378" width="33.85546875" style="87" customWidth="1"/>
    <col min="5379" max="5379" width="12.140625" style="87" customWidth="1"/>
    <col min="5380" max="5380" width="11.28515625" style="87" customWidth="1"/>
    <col min="5381" max="5382" width="10.85546875" style="87" customWidth="1"/>
    <col min="5383" max="5383" width="10.28515625" style="87" customWidth="1"/>
    <col min="5384" max="5384" width="15" style="87" customWidth="1"/>
    <col min="5385" max="5385" width="18.42578125" style="87" customWidth="1"/>
    <col min="5386" max="5632" width="9.140625" style="87"/>
    <col min="5633" max="5633" width="11.85546875" style="87" customWidth="1"/>
    <col min="5634" max="5634" width="33.85546875" style="87" customWidth="1"/>
    <col min="5635" max="5635" width="12.140625" style="87" customWidth="1"/>
    <col min="5636" max="5636" width="11.28515625" style="87" customWidth="1"/>
    <col min="5637" max="5638" width="10.85546875" style="87" customWidth="1"/>
    <col min="5639" max="5639" width="10.28515625" style="87" customWidth="1"/>
    <col min="5640" max="5640" width="15" style="87" customWidth="1"/>
    <col min="5641" max="5641" width="18.42578125" style="87" customWidth="1"/>
    <col min="5642" max="5888" width="9.140625" style="87"/>
    <col min="5889" max="5889" width="11.85546875" style="87" customWidth="1"/>
    <col min="5890" max="5890" width="33.85546875" style="87" customWidth="1"/>
    <col min="5891" max="5891" width="12.140625" style="87" customWidth="1"/>
    <col min="5892" max="5892" width="11.28515625" style="87" customWidth="1"/>
    <col min="5893" max="5894" width="10.85546875" style="87" customWidth="1"/>
    <col min="5895" max="5895" width="10.28515625" style="87" customWidth="1"/>
    <col min="5896" max="5896" width="15" style="87" customWidth="1"/>
    <col min="5897" max="5897" width="18.42578125" style="87" customWidth="1"/>
    <col min="5898" max="6144" width="9.140625" style="87"/>
    <col min="6145" max="6145" width="11.85546875" style="87" customWidth="1"/>
    <col min="6146" max="6146" width="33.85546875" style="87" customWidth="1"/>
    <col min="6147" max="6147" width="12.140625" style="87" customWidth="1"/>
    <col min="6148" max="6148" width="11.28515625" style="87" customWidth="1"/>
    <col min="6149" max="6150" width="10.85546875" style="87" customWidth="1"/>
    <col min="6151" max="6151" width="10.28515625" style="87" customWidth="1"/>
    <col min="6152" max="6152" width="15" style="87" customWidth="1"/>
    <col min="6153" max="6153" width="18.42578125" style="87" customWidth="1"/>
    <col min="6154" max="6400" width="9.140625" style="87"/>
    <col min="6401" max="6401" width="11.85546875" style="87" customWidth="1"/>
    <col min="6402" max="6402" width="33.85546875" style="87" customWidth="1"/>
    <col min="6403" max="6403" width="12.140625" style="87" customWidth="1"/>
    <col min="6404" max="6404" width="11.28515625" style="87" customWidth="1"/>
    <col min="6405" max="6406" width="10.85546875" style="87" customWidth="1"/>
    <col min="6407" max="6407" width="10.28515625" style="87" customWidth="1"/>
    <col min="6408" max="6408" width="15" style="87" customWidth="1"/>
    <col min="6409" max="6409" width="18.42578125" style="87" customWidth="1"/>
    <col min="6410" max="6656" width="9.140625" style="87"/>
    <col min="6657" max="6657" width="11.85546875" style="87" customWidth="1"/>
    <col min="6658" max="6658" width="33.85546875" style="87" customWidth="1"/>
    <col min="6659" max="6659" width="12.140625" style="87" customWidth="1"/>
    <col min="6660" max="6660" width="11.28515625" style="87" customWidth="1"/>
    <col min="6661" max="6662" width="10.85546875" style="87" customWidth="1"/>
    <col min="6663" max="6663" width="10.28515625" style="87" customWidth="1"/>
    <col min="6664" max="6664" width="15" style="87" customWidth="1"/>
    <col min="6665" max="6665" width="18.42578125" style="87" customWidth="1"/>
    <col min="6666" max="6912" width="9.140625" style="87"/>
    <col min="6913" max="6913" width="11.85546875" style="87" customWidth="1"/>
    <col min="6914" max="6914" width="33.85546875" style="87" customWidth="1"/>
    <col min="6915" max="6915" width="12.140625" style="87" customWidth="1"/>
    <col min="6916" max="6916" width="11.28515625" style="87" customWidth="1"/>
    <col min="6917" max="6918" width="10.85546875" style="87" customWidth="1"/>
    <col min="6919" max="6919" width="10.28515625" style="87" customWidth="1"/>
    <col min="6920" max="6920" width="15" style="87" customWidth="1"/>
    <col min="6921" max="6921" width="18.42578125" style="87" customWidth="1"/>
    <col min="6922" max="7168" width="9.140625" style="87"/>
    <col min="7169" max="7169" width="11.85546875" style="87" customWidth="1"/>
    <col min="7170" max="7170" width="33.85546875" style="87" customWidth="1"/>
    <col min="7171" max="7171" width="12.140625" style="87" customWidth="1"/>
    <col min="7172" max="7172" width="11.28515625" style="87" customWidth="1"/>
    <col min="7173" max="7174" width="10.85546875" style="87" customWidth="1"/>
    <col min="7175" max="7175" width="10.28515625" style="87" customWidth="1"/>
    <col min="7176" max="7176" width="15" style="87" customWidth="1"/>
    <col min="7177" max="7177" width="18.42578125" style="87" customWidth="1"/>
    <col min="7178" max="7424" width="9.140625" style="87"/>
    <col min="7425" max="7425" width="11.85546875" style="87" customWidth="1"/>
    <col min="7426" max="7426" width="33.85546875" style="87" customWidth="1"/>
    <col min="7427" max="7427" width="12.140625" style="87" customWidth="1"/>
    <col min="7428" max="7428" width="11.28515625" style="87" customWidth="1"/>
    <col min="7429" max="7430" width="10.85546875" style="87" customWidth="1"/>
    <col min="7431" max="7431" width="10.28515625" style="87" customWidth="1"/>
    <col min="7432" max="7432" width="15" style="87" customWidth="1"/>
    <col min="7433" max="7433" width="18.42578125" style="87" customWidth="1"/>
    <col min="7434" max="7680" width="9.140625" style="87"/>
    <col min="7681" max="7681" width="11.85546875" style="87" customWidth="1"/>
    <col min="7682" max="7682" width="33.85546875" style="87" customWidth="1"/>
    <col min="7683" max="7683" width="12.140625" style="87" customWidth="1"/>
    <col min="7684" max="7684" width="11.28515625" style="87" customWidth="1"/>
    <col min="7685" max="7686" width="10.85546875" style="87" customWidth="1"/>
    <col min="7687" max="7687" width="10.28515625" style="87" customWidth="1"/>
    <col min="7688" max="7688" width="15" style="87" customWidth="1"/>
    <col min="7689" max="7689" width="18.42578125" style="87" customWidth="1"/>
    <col min="7690" max="7936" width="9.140625" style="87"/>
    <col min="7937" max="7937" width="11.85546875" style="87" customWidth="1"/>
    <col min="7938" max="7938" width="33.85546875" style="87" customWidth="1"/>
    <col min="7939" max="7939" width="12.140625" style="87" customWidth="1"/>
    <col min="7940" max="7940" width="11.28515625" style="87" customWidth="1"/>
    <col min="7941" max="7942" width="10.85546875" style="87" customWidth="1"/>
    <col min="7943" max="7943" width="10.28515625" style="87" customWidth="1"/>
    <col min="7944" max="7944" width="15" style="87" customWidth="1"/>
    <col min="7945" max="7945" width="18.42578125" style="87" customWidth="1"/>
    <col min="7946" max="8192" width="9.140625" style="87"/>
    <col min="8193" max="8193" width="11.85546875" style="87" customWidth="1"/>
    <col min="8194" max="8194" width="33.85546875" style="87" customWidth="1"/>
    <col min="8195" max="8195" width="12.140625" style="87" customWidth="1"/>
    <col min="8196" max="8196" width="11.28515625" style="87" customWidth="1"/>
    <col min="8197" max="8198" width="10.85546875" style="87" customWidth="1"/>
    <col min="8199" max="8199" width="10.28515625" style="87" customWidth="1"/>
    <col min="8200" max="8200" width="15" style="87" customWidth="1"/>
    <col min="8201" max="8201" width="18.42578125" style="87" customWidth="1"/>
    <col min="8202" max="8448" width="9.140625" style="87"/>
    <col min="8449" max="8449" width="11.85546875" style="87" customWidth="1"/>
    <col min="8450" max="8450" width="33.85546875" style="87" customWidth="1"/>
    <col min="8451" max="8451" width="12.140625" style="87" customWidth="1"/>
    <col min="8452" max="8452" width="11.28515625" style="87" customWidth="1"/>
    <col min="8453" max="8454" width="10.85546875" style="87" customWidth="1"/>
    <col min="8455" max="8455" width="10.28515625" style="87" customWidth="1"/>
    <col min="8456" max="8456" width="15" style="87" customWidth="1"/>
    <col min="8457" max="8457" width="18.42578125" style="87" customWidth="1"/>
    <col min="8458" max="8704" width="9.140625" style="87"/>
    <col min="8705" max="8705" width="11.85546875" style="87" customWidth="1"/>
    <col min="8706" max="8706" width="33.85546875" style="87" customWidth="1"/>
    <col min="8707" max="8707" width="12.140625" style="87" customWidth="1"/>
    <col min="8708" max="8708" width="11.28515625" style="87" customWidth="1"/>
    <col min="8709" max="8710" width="10.85546875" style="87" customWidth="1"/>
    <col min="8711" max="8711" width="10.28515625" style="87" customWidth="1"/>
    <col min="8712" max="8712" width="15" style="87" customWidth="1"/>
    <col min="8713" max="8713" width="18.42578125" style="87" customWidth="1"/>
    <col min="8714" max="8960" width="9.140625" style="87"/>
    <col min="8961" max="8961" width="11.85546875" style="87" customWidth="1"/>
    <col min="8962" max="8962" width="33.85546875" style="87" customWidth="1"/>
    <col min="8963" max="8963" width="12.140625" style="87" customWidth="1"/>
    <col min="8964" max="8964" width="11.28515625" style="87" customWidth="1"/>
    <col min="8965" max="8966" width="10.85546875" style="87" customWidth="1"/>
    <col min="8967" max="8967" width="10.28515625" style="87" customWidth="1"/>
    <col min="8968" max="8968" width="15" style="87" customWidth="1"/>
    <col min="8969" max="8969" width="18.42578125" style="87" customWidth="1"/>
    <col min="8970" max="9216" width="9.140625" style="87"/>
    <col min="9217" max="9217" width="11.85546875" style="87" customWidth="1"/>
    <col min="9218" max="9218" width="33.85546875" style="87" customWidth="1"/>
    <col min="9219" max="9219" width="12.140625" style="87" customWidth="1"/>
    <col min="9220" max="9220" width="11.28515625" style="87" customWidth="1"/>
    <col min="9221" max="9222" width="10.85546875" style="87" customWidth="1"/>
    <col min="9223" max="9223" width="10.28515625" style="87" customWidth="1"/>
    <col min="9224" max="9224" width="15" style="87" customWidth="1"/>
    <col min="9225" max="9225" width="18.42578125" style="87" customWidth="1"/>
    <col min="9226" max="9472" width="9.140625" style="87"/>
    <col min="9473" max="9473" width="11.85546875" style="87" customWidth="1"/>
    <col min="9474" max="9474" width="33.85546875" style="87" customWidth="1"/>
    <col min="9475" max="9475" width="12.140625" style="87" customWidth="1"/>
    <col min="9476" max="9476" width="11.28515625" style="87" customWidth="1"/>
    <col min="9477" max="9478" width="10.85546875" style="87" customWidth="1"/>
    <col min="9479" max="9479" width="10.28515625" style="87" customWidth="1"/>
    <col min="9480" max="9480" width="15" style="87" customWidth="1"/>
    <col min="9481" max="9481" width="18.42578125" style="87" customWidth="1"/>
    <col min="9482" max="9728" width="9.140625" style="87"/>
    <col min="9729" max="9729" width="11.85546875" style="87" customWidth="1"/>
    <col min="9730" max="9730" width="33.85546875" style="87" customWidth="1"/>
    <col min="9731" max="9731" width="12.140625" style="87" customWidth="1"/>
    <col min="9732" max="9732" width="11.28515625" style="87" customWidth="1"/>
    <col min="9733" max="9734" width="10.85546875" style="87" customWidth="1"/>
    <col min="9735" max="9735" width="10.28515625" style="87" customWidth="1"/>
    <col min="9736" max="9736" width="15" style="87" customWidth="1"/>
    <col min="9737" max="9737" width="18.42578125" style="87" customWidth="1"/>
    <col min="9738" max="9984" width="9.140625" style="87"/>
    <col min="9985" max="9985" width="11.85546875" style="87" customWidth="1"/>
    <col min="9986" max="9986" width="33.85546875" style="87" customWidth="1"/>
    <col min="9987" max="9987" width="12.140625" style="87" customWidth="1"/>
    <col min="9988" max="9988" width="11.28515625" style="87" customWidth="1"/>
    <col min="9989" max="9990" width="10.85546875" style="87" customWidth="1"/>
    <col min="9991" max="9991" width="10.28515625" style="87" customWidth="1"/>
    <col min="9992" max="9992" width="15" style="87" customWidth="1"/>
    <col min="9993" max="9993" width="18.42578125" style="87" customWidth="1"/>
    <col min="9994" max="10240" width="9.140625" style="87"/>
    <col min="10241" max="10241" width="11.85546875" style="87" customWidth="1"/>
    <col min="10242" max="10242" width="33.85546875" style="87" customWidth="1"/>
    <col min="10243" max="10243" width="12.140625" style="87" customWidth="1"/>
    <col min="10244" max="10244" width="11.28515625" style="87" customWidth="1"/>
    <col min="10245" max="10246" width="10.85546875" style="87" customWidth="1"/>
    <col min="10247" max="10247" width="10.28515625" style="87" customWidth="1"/>
    <col min="10248" max="10248" width="15" style="87" customWidth="1"/>
    <col min="10249" max="10249" width="18.42578125" style="87" customWidth="1"/>
    <col min="10250" max="10496" width="9.140625" style="87"/>
    <col min="10497" max="10497" width="11.85546875" style="87" customWidth="1"/>
    <col min="10498" max="10498" width="33.85546875" style="87" customWidth="1"/>
    <col min="10499" max="10499" width="12.140625" style="87" customWidth="1"/>
    <col min="10500" max="10500" width="11.28515625" style="87" customWidth="1"/>
    <col min="10501" max="10502" width="10.85546875" style="87" customWidth="1"/>
    <col min="10503" max="10503" width="10.28515625" style="87" customWidth="1"/>
    <col min="10504" max="10504" width="15" style="87" customWidth="1"/>
    <col min="10505" max="10505" width="18.42578125" style="87" customWidth="1"/>
    <col min="10506" max="10752" width="9.140625" style="87"/>
    <col min="10753" max="10753" width="11.85546875" style="87" customWidth="1"/>
    <col min="10754" max="10754" width="33.85546875" style="87" customWidth="1"/>
    <col min="10755" max="10755" width="12.140625" style="87" customWidth="1"/>
    <col min="10756" max="10756" width="11.28515625" style="87" customWidth="1"/>
    <col min="10757" max="10758" width="10.85546875" style="87" customWidth="1"/>
    <col min="10759" max="10759" width="10.28515625" style="87" customWidth="1"/>
    <col min="10760" max="10760" width="15" style="87" customWidth="1"/>
    <col min="10761" max="10761" width="18.42578125" style="87" customWidth="1"/>
    <col min="10762" max="11008" width="9.140625" style="87"/>
    <col min="11009" max="11009" width="11.85546875" style="87" customWidth="1"/>
    <col min="11010" max="11010" width="33.85546875" style="87" customWidth="1"/>
    <col min="11011" max="11011" width="12.140625" style="87" customWidth="1"/>
    <col min="11012" max="11012" width="11.28515625" style="87" customWidth="1"/>
    <col min="11013" max="11014" width="10.85546875" style="87" customWidth="1"/>
    <col min="11015" max="11015" width="10.28515625" style="87" customWidth="1"/>
    <col min="11016" max="11016" width="15" style="87" customWidth="1"/>
    <col min="11017" max="11017" width="18.42578125" style="87" customWidth="1"/>
    <col min="11018" max="11264" width="9.140625" style="87"/>
    <col min="11265" max="11265" width="11.85546875" style="87" customWidth="1"/>
    <col min="11266" max="11266" width="33.85546875" style="87" customWidth="1"/>
    <col min="11267" max="11267" width="12.140625" style="87" customWidth="1"/>
    <col min="11268" max="11268" width="11.28515625" style="87" customWidth="1"/>
    <col min="11269" max="11270" width="10.85546875" style="87" customWidth="1"/>
    <col min="11271" max="11271" width="10.28515625" style="87" customWidth="1"/>
    <col min="11272" max="11272" width="15" style="87" customWidth="1"/>
    <col min="11273" max="11273" width="18.42578125" style="87" customWidth="1"/>
    <col min="11274" max="11520" width="9.140625" style="87"/>
    <col min="11521" max="11521" width="11.85546875" style="87" customWidth="1"/>
    <col min="11522" max="11522" width="33.85546875" style="87" customWidth="1"/>
    <col min="11523" max="11523" width="12.140625" style="87" customWidth="1"/>
    <col min="11524" max="11524" width="11.28515625" style="87" customWidth="1"/>
    <col min="11525" max="11526" width="10.85546875" style="87" customWidth="1"/>
    <col min="11527" max="11527" width="10.28515625" style="87" customWidth="1"/>
    <col min="11528" max="11528" width="15" style="87" customWidth="1"/>
    <col min="11529" max="11529" width="18.42578125" style="87" customWidth="1"/>
    <col min="11530" max="11776" width="9.140625" style="87"/>
    <col min="11777" max="11777" width="11.85546875" style="87" customWidth="1"/>
    <col min="11778" max="11778" width="33.85546875" style="87" customWidth="1"/>
    <col min="11779" max="11779" width="12.140625" style="87" customWidth="1"/>
    <col min="11780" max="11780" width="11.28515625" style="87" customWidth="1"/>
    <col min="11781" max="11782" width="10.85546875" style="87" customWidth="1"/>
    <col min="11783" max="11783" width="10.28515625" style="87" customWidth="1"/>
    <col min="11784" max="11784" width="15" style="87" customWidth="1"/>
    <col min="11785" max="11785" width="18.42578125" style="87" customWidth="1"/>
    <col min="11786" max="12032" width="9.140625" style="87"/>
    <col min="12033" max="12033" width="11.85546875" style="87" customWidth="1"/>
    <col min="12034" max="12034" width="33.85546875" style="87" customWidth="1"/>
    <col min="12035" max="12035" width="12.140625" style="87" customWidth="1"/>
    <col min="12036" max="12036" width="11.28515625" style="87" customWidth="1"/>
    <col min="12037" max="12038" width="10.85546875" style="87" customWidth="1"/>
    <col min="12039" max="12039" width="10.28515625" style="87" customWidth="1"/>
    <col min="12040" max="12040" width="15" style="87" customWidth="1"/>
    <col min="12041" max="12041" width="18.42578125" style="87" customWidth="1"/>
    <col min="12042" max="12288" width="9.140625" style="87"/>
    <col min="12289" max="12289" width="11.85546875" style="87" customWidth="1"/>
    <col min="12290" max="12290" width="33.85546875" style="87" customWidth="1"/>
    <col min="12291" max="12291" width="12.140625" style="87" customWidth="1"/>
    <col min="12292" max="12292" width="11.28515625" style="87" customWidth="1"/>
    <col min="12293" max="12294" width="10.85546875" style="87" customWidth="1"/>
    <col min="12295" max="12295" width="10.28515625" style="87" customWidth="1"/>
    <col min="12296" max="12296" width="15" style="87" customWidth="1"/>
    <col min="12297" max="12297" width="18.42578125" style="87" customWidth="1"/>
    <col min="12298" max="12544" width="9.140625" style="87"/>
    <col min="12545" max="12545" width="11.85546875" style="87" customWidth="1"/>
    <col min="12546" max="12546" width="33.85546875" style="87" customWidth="1"/>
    <col min="12547" max="12547" width="12.140625" style="87" customWidth="1"/>
    <col min="12548" max="12548" width="11.28515625" style="87" customWidth="1"/>
    <col min="12549" max="12550" width="10.85546875" style="87" customWidth="1"/>
    <col min="12551" max="12551" width="10.28515625" style="87" customWidth="1"/>
    <col min="12552" max="12552" width="15" style="87" customWidth="1"/>
    <col min="12553" max="12553" width="18.42578125" style="87" customWidth="1"/>
    <col min="12554" max="12800" width="9.140625" style="87"/>
    <col min="12801" max="12801" width="11.85546875" style="87" customWidth="1"/>
    <col min="12802" max="12802" width="33.85546875" style="87" customWidth="1"/>
    <col min="12803" max="12803" width="12.140625" style="87" customWidth="1"/>
    <col min="12804" max="12804" width="11.28515625" style="87" customWidth="1"/>
    <col min="12805" max="12806" width="10.85546875" style="87" customWidth="1"/>
    <col min="12807" max="12807" width="10.28515625" style="87" customWidth="1"/>
    <col min="12808" max="12808" width="15" style="87" customWidth="1"/>
    <col min="12809" max="12809" width="18.42578125" style="87" customWidth="1"/>
    <col min="12810" max="13056" width="9.140625" style="87"/>
    <col min="13057" max="13057" width="11.85546875" style="87" customWidth="1"/>
    <col min="13058" max="13058" width="33.85546875" style="87" customWidth="1"/>
    <col min="13059" max="13059" width="12.140625" style="87" customWidth="1"/>
    <col min="13060" max="13060" width="11.28515625" style="87" customWidth="1"/>
    <col min="13061" max="13062" width="10.85546875" style="87" customWidth="1"/>
    <col min="13063" max="13063" width="10.28515625" style="87" customWidth="1"/>
    <col min="13064" max="13064" width="15" style="87" customWidth="1"/>
    <col min="13065" max="13065" width="18.42578125" style="87" customWidth="1"/>
    <col min="13066" max="13312" width="9.140625" style="87"/>
    <col min="13313" max="13313" width="11.85546875" style="87" customWidth="1"/>
    <col min="13314" max="13314" width="33.85546875" style="87" customWidth="1"/>
    <col min="13315" max="13315" width="12.140625" style="87" customWidth="1"/>
    <col min="13316" max="13316" width="11.28515625" style="87" customWidth="1"/>
    <col min="13317" max="13318" width="10.85546875" style="87" customWidth="1"/>
    <col min="13319" max="13319" width="10.28515625" style="87" customWidth="1"/>
    <col min="13320" max="13320" width="15" style="87" customWidth="1"/>
    <col min="13321" max="13321" width="18.42578125" style="87" customWidth="1"/>
    <col min="13322" max="13568" width="9.140625" style="87"/>
    <col min="13569" max="13569" width="11.85546875" style="87" customWidth="1"/>
    <col min="13570" max="13570" width="33.85546875" style="87" customWidth="1"/>
    <col min="13571" max="13571" width="12.140625" style="87" customWidth="1"/>
    <col min="13572" max="13572" width="11.28515625" style="87" customWidth="1"/>
    <col min="13573" max="13574" width="10.85546875" style="87" customWidth="1"/>
    <col min="13575" max="13575" width="10.28515625" style="87" customWidth="1"/>
    <col min="13576" max="13576" width="15" style="87" customWidth="1"/>
    <col min="13577" max="13577" width="18.42578125" style="87" customWidth="1"/>
    <col min="13578" max="13824" width="9.140625" style="87"/>
    <col min="13825" max="13825" width="11.85546875" style="87" customWidth="1"/>
    <col min="13826" max="13826" width="33.85546875" style="87" customWidth="1"/>
    <col min="13827" max="13827" width="12.140625" style="87" customWidth="1"/>
    <col min="13828" max="13828" width="11.28515625" style="87" customWidth="1"/>
    <col min="13829" max="13830" width="10.85546875" style="87" customWidth="1"/>
    <col min="13831" max="13831" width="10.28515625" style="87" customWidth="1"/>
    <col min="13832" max="13832" width="15" style="87" customWidth="1"/>
    <col min="13833" max="13833" width="18.42578125" style="87" customWidth="1"/>
    <col min="13834" max="14080" width="9.140625" style="87"/>
    <col min="14081" max="14081" width="11.85546875" style="87" customWidth="1"/>
    <col min="14082" max="14082" width="33.85546875" style="87" customWidth="1"/>
    <col min="14083" max="14083" width="12.140625" style="87" customWidth="1"/>
    <col min="14084" max="14084" width="11.28515625" style="87" customWidth="1"/>
    <col min="14085" max="14086" width="10.85546875" style="87" customWidth="1"/>
    <col min="14087" max="14087" width="10.28515625" style="87" customWidth="1"/>
    <col min="14088" max="14088" width="15" style="87" customWidth="1"/>
    <col min="14089" max="14089" width="18.42578125" style="87" customWidth="1"/>
    <col min="14090" max="14336" width="9.140625" style="87"/>
    <col min="14337" max="14337" width="11.85546875" style="87" customWidth="1"/>
    <col min="14338" max="14338" width="33.85546875" style="87" customWidth="1"/>
    <col min="14339" max="14339" width="12.140625" style="87" customWidth="1"/>
    <col min="14340" max="14340" width="11.28515625" style="87" customWidth="1"/>
    <col min="14341" max="14342" width="10.85546875" style="87" customWidth="1"/>
    <col min="14343" max="14343" width="10.28515625" style="87" customWidth="1"/>
    <col min="14344" max="14344" width="15" style="87" customWidth="1"/>
    <col min="14345" max="14345" width="18.42578125" style="87" customWidth="1"/>
    <col min="14346" max="14592" width="9.140625" style="87"/>
    <col min="14593" max="14593" width="11.85546875" style="87" customWidth="1"/>
    <col min="14594" max="14594" width="33.85546875" style="87" customWidth="1"/>
    <col min="14595" max="14595" width="12.140625" style="87" customWidth="1"/>
    <col min="14596" max="14596" width="11.28515625" style="87" customWidth="1"/>
    <col min="14597" max="14598" width="10.85546875" style="87" customWidth="1"/>
    <col min="14599" max="14599" width="10.28515625" style="87" customWidth="1"/>
    <col min="14600" max="14600" width="15" style="87" customWidth="1"/>
    <col min="14601" max="14601" width="18.42578125" style="87" customWidth="1"/>
    <col min="14602" max="14848" width="9.140625" style="87"/>
    <col min="14849" max="14849" width="11.85546875" style="87" customWidth="1"/>
    <col min="14850" max="14850" width="33.85546875" style="87" customWidth="1"/>
    <col min="14851" max="14851" width="12.140625" style="87" customWidth="1"/>
    <col min="14852" max="14852" width="11.28515625" style="87" customWidth="1"/>
    <col min="14853" max="14854" width="10.85546875" style="87" customWidth="1"/>
    <col min="14855" max="14855" width="10.28515625" style="87" customWidth="1"/>
    <col min="14856" max="14856" width="15" style="87" customWidth="1"/>
    <col min="14857" max="14857" width="18.42578125" style="87" customWidth="1"/>
    <col min="14858" max="15104" width="9.140625" style="87"/>
    <col min="15105" max="15105" width="11.85546875" style="87" customWidth="1"/>
    <col min="15106" max="15106" width="33.85546875" style="87" customWidth="1"/>
    <col min="15107" max="15107" width="12.140625" style="87" customWidth="1"/>
    <col min="15108" max="15108" width="11.28515625" style="87" customWidth="1"/>
    <col min="15109" max="15110" width="10.85546875" style="87" customWidth="1"/>
    <col min="15111" max="15111" width="10.28515625" style="87" customWidth="1"/>
    <col min="15112" max="15112" width="15" style="87" customWidth="1"/>
    <col min="15113" max="15113" width="18.42578125" style="87" customWidth="1"/>
    <col min="15114" max="15360" width="9.140625" style="87"/>
    <col min="15361" max="15361" width="11.85546875" style="87" customWidth="1"/>
    <col min="15362" max="15362" width="33.85546875" style="87" customWidth="1"/>
    <col min="15363" max="15363" width="12.140625" style="87" customWidth="1"/>
    <col min="15364" max="15364" width="11.28515625" style="87" customWidth="1"/>
    <col min="15365" max="15366" width="10.85546875" style="87" customWidth="1"/>
    <col min="15367" max="15367" width="10.28515625" style="87" customWidth="1"/>
    <col min="15368" max="15368" width="15" style="87" customWidth="1"/>
    <col min="15369" max="15369" width="18.42578125" style="87" customWidth="1"/>
    <col min="15370" max="15616" width="9.140625" style="87"/>
    <col min="15617" max="15617" width="11.85546875" style="87" customWidth="1"/>
    <col min="15618" max="15618" width="33.85546875" style="87" customWidth="1"/>
    <col min="15619" max="15619" width="12.140625" style="87" customWidth="1"/>
    <col min="15620" max="15620" width="11.28515625" style="87" customWidth="1"/>
    <col min="15621" max="15622" width="10.85546875" style="87" customWidth="1"/>
    <col min="15623" max="15623" width="10.28515625" style="87" customWidth="1"/>
    <col min="15624" max="15624" width="15" style="87" customWidth="1"/>
    <col min="15625" max="15625" width="18.42578125" style="87" customWidth="1"/>
    <col min="15626" max="15872" width="9.140625" style="87"/>
    <col min="15873" max="15873" width="11.85546875" style="87" customWidth="1"/>
    <col min="15874" max="15874" width="33.85546875" style="87" customWidth="1"/>
    <col min="15875" max="15875" width="12.140625" style="87" customWidth="1"/>
    <col min="15876" max="15876" width="11.28515625" style="87" customWidth="1"/>
    <col min="15877" max="15878" width="10.85546875" style="87" customWidth="1"/>
    <col min="15879" max="15879" width="10.28515625" style="87" customWidth="1"/>
    <col min="15880" max="15880" width="15" style="87" customWidth="1"/>
    <col min="15881" max="15881" width="18.42578125" style="87" customWidth="1"/>
    <col min="15882" max="16128" width="9.140625" style="87"/>
    <col min="16129" max="16129" width="11.85546875" style="87" customWidth="1"/>
    <col min="16130" max="16130" width="33.85546875" style="87" customWidth="1"/>
    <col min="16131" max="16131" width="12.140625" style="87" customWidth="1"/>
    <col min="16132" max="16132" width="11.28515625" style="87" customWidth="1"/>
    <col min="16133" max="16134" width="10.85546875" style="87" customWidth="1"/>
    <col min="16135" max="16135" width="10.28515625" style="87" customWidth="1"/>
    <col min="16136" max="16136" width="15" style="87" customWidth="1"/>
    <col min="16137" max="16137" width="18.42578125" style="87" customWidth="1"/>
    <col min="16138" max="16384" width="9.140625" style="87"/>
  </cols>
  <sheetData>
    <row r="1" spans="1:8" ht="15.75" x14ac:dyDescent="0.25">
      <c r="A1" s="184"/>
      <c r="B1" s="184"/>
      <c r="C1" s="185"/>
      <c r="D1" s="184"/>
      <c r="E1" s="431" t="s">
        <v>268</v>
      </c>
      <c r="F1" s="431"/>
      <c r="G1" s="431"/>
      <c r="H1" s="431"/>
    </row>
    <row r="2" spans="1:8" ht="15.75" x14ac:dyDescent="0.25">
      <c r="A2" s="184"/>
      <c r="B2" s="184"/>
      <c r="C2" s="185"/>
      <c r="D2" s="184"/>
      <c r="E2" s="431" t="s">
        <v>139</v>
      </c>
      <c r="F2" s="431"/>
      <c r="G2" s="431"/>
      <c r="H2" s="431"/>
    </row>
    <row r="3" spans="1:8" ht="15.75" x14ac:dyDescent="0.25">
      <c r="A3" s="184"/>
      <c r="B3" s="184"/>
      <c r="C3" s="185"/>
      <c r="D3" s="184"/>
      <c r="E3" s="186" t="s">
        <v>140</v>
      </c>
      <c r="F3" s="186"/>
      <c r="G3" s="186"/>
      <c r="H3" s="186"/>
    </row>
    <row r="4" spans="1:8" ht="15.75" x14ac:dyDescent="0.25">
      <c r="A4" s="184"/>
      <c r="B4" s="184"/>
      <c r="C4" s="185"/>
      <c r="D4" s="184"/>
      <c r="E4" s="431" t="s">
        <v>269</v>
      </c>
      <c r="F4" s="431"/>
      <c r="G4" s="431"/>
      <c r="H4" s="431"/>
    </row>
    <row r="5" spans="1:8" ht="15.75" x14ac:dyDescent="0.25">
      <c r="A5" s="184"/>
      <c r="B5" s="184"/>
      <c r="C5" s="185"/>
      <c r="D5" s="184"/>
      <c r="E5" s="186"/>
      <c r="F5" s="186"/>
      <c r="G5" s="186"/>
      <c r="H5" s="186"/>
    </row>
    <row r="6" spans="1:8" ht="15.75" x14ac:dyDescent="0.25">
      <c r="A6" s="184"/>
      <c r="B6" s="184"/>
      <c r="C6" s="185"/>
      <c r="D6" s="184"/>
      <c r="E6" s="186"/>
      <c r="F6" s="186"/>
      <c r="G6" s="186"/>
      <c r="H6" s="186"/>
    </row>
    <row r="7" spans="1:8" ht="15.75" x14ac:dyDescent="0.25">
      <c r="A7" s="184"/>
      <c r="B7" s="184"/>
      <c r="C7" s="185"/>
      <c r="D7" s="187"/>
      <c r="E7" s="187"/>
      <c r="F7" s="187"/>
      <c r="G7" s="187"/>
      <c r="H7" s="185"/>
    </row>
    <row r="8" spans="1:8" ht="15.75" x14ac:dyDescent="0.25">
      <c r="A8" s="432" t="s">
        <v>270</v>
      </c>
      <c r="B8" s="432"/>
      <c r="C8" s="432"/>
      <c r="D8" s="432"/>
      <c r="E8" s="432"/>
      <c r="F8" s="432"/>
      <c r="G8" s="432"/>
      <c r="H8" s="432"/>
    </row>
    <row r="9" spans="1:8" ht="15.75" x14ac:dyDescent="0.25">
      <c r="A9" s="432" t="s">
        <v>271</v>
      </c>
      <c r="B9" s="432"/>
      <c r="C9" s="432"/>
      <c r="D9" s="432"/>
      <c r="E9" s="432"/>
      <c r="F9" s="432"/>
      <c r="G9" s="432"/>
      <c r="H9" s="432"/>
    </row>
    <row r="10" spans="1:8" ht="15.75" x14ac:dyDescent="0.25">
      <c r="A10" s="187"/>
      <c r="B10" s="187"/>
      <c r="C10" s="187"/>
      <c r="D10" s="187"/>
      <c r="E10" s="187"/>
      <c r="F10" s="187"/>
      <c r="G10" s="187"/>
      <c r="H10" s="187"/>
    </row>
    <row r="11" spans="1:8" ht="15.75" x14ac:dyDescent="0.25">
      <c r="A11" s="187"/>
      <c r="B11" s="187"/>
      <c r="C11" s="187"/>
      <c r="D11" s="187"/>
      <c r="E11" s="187"/>
      <c r="F11" s="187"/>
      <c r="G11" s="187"/>
      <c r="H11" s="187"/>
    </row>
    <row r="12" spans="1:8" ht="16.5" thickBot="1" x14ac:dyDescent="0.3">
      <c r="A12" s="184"/>
      <c r="B12" s="184"/>
      <c r="C12" s="185"/>
      <c r="D12" s="187"/>
      <c r="E12" s="187"/>
      <c r="F12" s="187"/>
      <c r="G12" s="187"/>
      <c r="H12" s="185"/>
    </row>
    <row r="13" spans="1:8" ht="35.25" customHeight="1" thickBot="1" x14ac:dyDescent="0.25">
      <c r="A13" s="433" t="s">
        <v>225</v>
      </c>
      <c r="B13" s="435" t="s">
        <v>226</v>
      </c>
      <c r="C13" s="427" t="s">
        <v>272</v>
      </c>
      <c r="D13" s="438" t="s">
        <v>273</v>
      </c>
      <c r="E13" s="439"/>
      <c r="F13" s="440" t="s">
        <v>229</v>
      </c>
      <c r="G13" s="438"/>
      <c r="H13" s="427" t="s">
        <v>274</v>
      </c>
    </row>
    <row r="14" spans="1:8" ht="16.5" thickBot="1" x14ac:dyDescent="0.25">
      <c r="A14" s="434"/>
      <c r="B14" s="436"/>
      <c r="C14" s="437"/>
      <c r="D14" s="188" t="s">
        <v>230</v>
      </c>
      <c r="E14" s="189" t="s">
        <v>231</v>
      </c>
      <c r="F14" s="190" t="s">
        <v>230</v>
      </c>
      <c r="G14" s="189" t="s">
        <v>231</v>
      </c>
      <c r="H14" s="428"/>
    </row>
    <row r="15" spans="1:8" ht="16.5" thickBot="1" x14ac:dyDescent="0.3">
      <c r="A15" s="191">
        <v>1</v>
      </c>
      <c r="B15" s="192" t="s">
        <v>275</v>
      </c>
      <c r="C15" s="193">
        <v>3790.2</v>
      </c>
      <c r="D15" s="194">
        <f>SUM(D16:D22)</f>
        <v>2854</v>
      </c>
      <c r="E15" s="195">
        <f>SUM(E16:E22)</f>
        <v>2572.1999999999998</v>
      </c>
      <c r="F15" s="196">
        <f>SUM(F16:F22)</f>
        <v>258.79999999999995</v>
      </c>
      <c r="G15" s="195">
        <f>SUM(G16:G22)</f>
        <v>277.99999999999994</v>
      </c>
      <c r="H15" s="197">
        <f>C15-D15+E15</f>
        <v>3508.3999999999996</v>
      </c>
    </row>
    <row r="16" spans="1:8" ht="15.75" x14ac:dyDescent="0.25">
      <c r="A16" s="198" t="s">
        <v>276</v>
      </c>
      <c r="B16" s="199" t="s">
        <v>277</v>
      </c>
      <c r="C16" s="200">
        <v>3400</v>
      </c>
      <c r="D16" s="201">
        <f>700+500+500+130+110+100+100+220+220</f>
        <v>2580</v>
      </c>
      <c r="E16" s="202">
        <f>736+537.5+110.3+124.9+144.3+115.7+86.5+222.3+247.7</f>
        <v>2325.1999999999998</v>
      </c>
      <c r="F16" s="203">
        <v>220</v>
      </c>
      <c r="G16" s="203">
        <v>247.7</v>
      </c>
      <c r="H16" s="204">
        <f>C16-D16+E16</f>
        <v>3145.2</v>
      </c>
    </row>
    <row r="17" spans="1:8" ht="47.25" x14ac:dyDescent="0.25">
      <c r="A17" s="198" t="s">
        <v>278</v>
      </c>
      <c r="B17" s="205" t="s">
        <v>279</v>
      </c>
      <c r="C17" s="200">
        <v>37.4</v>
      </c>
      <c r="D17" s="206">
        <v>9.4</v>
      </c>
      <c r="E17" s="207">
        <v>0</v>
      </c>
      <c r="F17" s="208">
        <v>9.4</v>
      </c>
      <c r="G17" s="208">
        <v>0</v>
      </c>
      <c r="H17" s="204">
        <f>C17-D17+E17</f>
        <v>28</v>
      </c>
    </row>
    <row r="18" spans="1:8" ht="31.5" x14ac:dyDescent="0.2">
      <c r="A18" s="209" t="s">
        <v>280</v>
      </c>
      <c r="B18" s="210" t="s">
        <v>281</v>
      </c>
      <c r="C18" s="211">
        <v>278.39999999999998</v>
      </c>
      <c r="D18" s="206">
        <f>23.2+23.2+23.2+23.2+23.2+23.2+23.2+23.2+23.2</f>
        <v>208.79999999999995</v>
      </c>
      <c r="E18" s="207">
        <f>0+23.2+23.2+23.2+23.2+23.2+23.2+23.2+23.2</f>
        <v>185.59999999999997</v>
      </c>
      <c r="F18" s="212">
        <v>23.2</v>
      </c>
      <c r="G18" s="212">
        <v>23.2</v>
      </c>
      <c r="H18" s="213">
        <f>C18-D18+E18</f>
        <v>255.2</v>
      </c>
    </row>
    <row r="19" spans="1:8" ht="15.75" x14ac:dyDescent="0.2">
      <c r="A19" s="209" t="s">
        <v>282</v>
      </c>
      <c r="B19" s="210" t="s">
        <v>283</v>
      </c>
      <c r="C19" s="211">
        <v>39.6</v>
      </c>
      <c r="D19" s="206">
        <f>3.3+3.3+3.3+3.3+3.3+3.3+3.3+3.3+3.3</f>
        <v>29.700000000000003</v>
      </c>
      <c r="E19" s="207">
        <f>3.3+3.5+3.5+3.5+3.4+3.4+3.4+3.4+3.4</f>
        <v>30.799999999999994</v>
      </c>
      <c r="F19" s="212">
        <v>3.3</v>
      </c>
      <c r="G19" s="212">
        <v>3.4</v>
      </c>
      <c r="H19" s="213">
        <f t="shared" ref="H19:H50" si="0">C19-D19+E19</f>
        <v>40.699999999999989</v>
      </c>
    </row>
    <row r="20" spans="1:8" ht="15.75" x14ac:dyDescent="0.2">
      <c r="A20" s="209" t="s">
        <v>284</v>
      </c>
      <c r="B20" s="210" t="s">
        <v>285</v>
      </c>
      <c r="C20" s="211">
        <v>30</v>
      </c>
      <c r="D20" s="206">
        <f>2.5+2.5+2.5+2.5+2.5+2.5+2.5+2.5+2.5</f>
        <v>22.5</v>
      </c>
      <c r="E20" s="207">
        <f>2.6+2.6+2.7+2.8+2.9+3+3.2+3.2+3.2</f>
        <v>26.2</v>
      </c>
      <c r="F20" s="212">
        <v>2.5</v>
      </c>
      <c r="G20" s="212">
        <v>3.2</v>
      </c>
      <c r="H20" s="213">
        <f t="shared" si="0"/>
        <v>33.700000000000003</v>
      </c>
    </row>
    <row r="21" spans="1:8" ht="47.25" x14ac:dyDescent="0.2">
      <c r="A21" s="209" t="s">
        <v>286</v>
      </c>
      <c r="B21" s="210" t="s">
        <v>287</v>
      </c>
      <c r="C21" s="211">
        <v>2.4</v>
      </c>
      <c r="D21" s="206">
        <f>0.2+0.2+0.2+0.2+0.2+0.2+0.2+0.2+0.2</f>
        <v>1.7999999999999998</v>
      </c>
      <c r="E21" s="207">
        <f>0.2+0.5+0+0.2+0.3+0.2+0.3+0.3+0.3</f>
        <v>2.2999999999999998</v>
      </c>
      <c r="F21" s="212">
        <v>0.2</v>
      </c>
      <c r="G21" s="212">
        <v>0.3</v>
      </c>
      <c r="H21" s="213">
        <f t="shared" si="0"/>
        <v>2.9</v>
      </c>
    </row>
    <row r="22" spans="1:8" ht="32.25" thickBot="1" x14ac:dyDescent="0.25">
      <c r="A22" s="209" t="s">
        <v>288</v>
      </c>
      <c r="B22" s="210" t="s">
        <v>289</v>
      </c>
      <c r="C22" s="211">
        <v>2.4</v>
      </c>
      <c r="D22" s="206">
        <f>0.2+0.2+0.2+0.2+0.2+0.2+0.2+0.2+0.2</f>
        <v>1.7999999999999998</v>
      </c>
      <c r="E22" s="207">
        <f>0.2+0.2+0.2+0.2+0.3+0.3+0.3+0.2+0.2</f>
        <v>2.1</v>
      </c>
      <c r="F22" s="214">
        <v>0.2</v>
      </c>
      <c r="G22" s="212">
        <v>0.2</v>
      </c>
      <c r="H22" s="213">
        <f t="shared" si="0"/>
        <v>2.7</v>
      </c>
    </row>
    <row r="23" spans="1:8" ht="16.5" thickBot="1" x14ac:dyDescent="0.3">
      <c r="A23" s="191" t="s">
        <v>290</v>
      </c>
      <c r="B23" s="192" t="s">
        <v>291</v>
      </c>
      <c r="C23" s="194">
        <v>3623.6</v>
      </c>
      <c r="D23" s="194">
        <f>D24+D25+D26+D27+D28+D29+D32+D33+D36+D37+D42</f>
        <v>2687.9999999999991</v>
      </c>
      <c r="E23" s="195">
        <f>E24+E25+E26+E27+E28+E29+E32+E33+E36+E37+E42</f>
        <v>2388.6999999999994</v>
      </c>
      <c r="F23" s="215">
        <f>F24+F25+F26+F27+F28+F29+F32+F33+F36+F37+F42</f>
        <v>243.4</v>
      </c>
      <c r="G23" s="195">
        <f>G24+G25+G26+G27+G28+G29+G32+G33+G36+G37+G42</f>
        <v>263.10000000000002</v>
      </c>
      <c r="H23" s="216">
        <f>C23-D23+E23</f>
        <v>3324.3</v>
      </c>
    </row>
    <row r="24" spans="1:8" ht="15.75" x14ac:dyDescent="0.25">
      <c r="A24" s="217" t="s">
        <v>248</v>
      </c>
      <c r="B24" s="218" t="s">
        <v>292</v>
      </c>
      <c r="C24" s="219">
        <v>705.7</v>
      </c>
      <c r="D24" s="220">
        <f>58.6+48.6+99.8+35+35+56.9+67.3+45.3+57.6</f>
        <v>504.1</v>
      </c>
      <c r="E24" s="221">
        <f>54.4+42.2+23.4+33.2+39.2+45.5+88+51.7+60.7</f>
        <v>438.29999999999995</v>
      </c>
      <c r="F24" s="203">
        <v>57.6</v>
      </c>
      <c r="G24" s="203">
        <v>60.7</v>
      </c>
      <c r="H24" s="222">
        <f>C24-D24+E24</f>
        <v>639.9</v>
      </c>
    </row>
    <row r="25" spans="1:8" ht="15.75" x14ac:dyDescent="0.25">
      <c r="A25" s="223" t="s">
        <v>249</v>
      </c>
      <c r="B25" s="218" t="s">
        <v>293</v>
      </c>
      <c r="C25" s="219">
        <v>155.4</v>
      </c>
      <c r="D25" s="220">
        <f>12.9+10.7+22+7.7+7.7+12.5+14.8+10+12.7</f>
        <v>111</v>
      </c>
      <c r="E25" s="221">
        <f>10.5+9.3+5.1+7.3+8.6+10+19.4+11.4+13.3</f>
        <v>94.899999999999991</v>
      </c>
      <c r="F25" s="212">
        <v>12.7</v>
      </c>
      <c r="G25" s="212">
        <v>13.3</v>
      </c>
      <c r="H25" s="222">
        <f t="shared" si="0"/>
        <v>139.30000000000001</v>
      </c>
    </row>
    <row r="26" spans="1:8" ht="31.5" x14ac:dyDescent="0.25">
      <c r="A26" s="223" t="s">
        <v>294</v>
      </c>
      <c r="B26" s="218" t="s">
        <v>295</v>
      </c>
      <c r="C26" s="224">
        <v>2040</v>
      </c>
      <c r="D26" s="220">
        <f>420+300+300+78+66+60+60+132+132</f>
        <v>1548</v>
      </c>
      <c r="E26" s="221">
        <f>450.9+332.5+68.9+84.9+77+78.6+51.9+139.4+152.8</f>
        <v>1436.9</v>
      </c>
      <c r="F26" s="225">
        <v>132</v>
      </c>
      <c r="G26" s="225">
        <v>152.80000000000001</v>
      </c>
      <c r="H26" s="222">
        <f t="shared" si="0"/>
        <v>1928.9</v>
      </c>
    </row>
    <row r="27" spans="1:8" ht="15.75" x14ac:dyDescent="0.25">
      <c r="A27" s="226" t="s">
        <v>296</v>
      </c>
      <c r="B27" s="218" t="s">
        <v>297</v>
      </c>
      <c r="C27" s="224">
        <v>15</v>
      </c>
      <c r="D27" s="220">
        <f>2+2+2+1+1+1+1+1+1</f>
        <v>12</v>
      </c>
      <c r="E27" s="221">
        <f>2+0+3.9+0+0+0.6+1.1</f>
        <v>7.6</v>
      </c>
      <c r="F27" s="212">
        <v>1</v>
      </c>
      <c r="G27" s="212">
        <v>1.1000000000000001</v>
      </c>
      <c r="H27" s="222">
        <f t="shared" si="0"/>
        <v>10.6</v>
      </c>
    </row>
    <row r="28" spans="1:8" ht="16.5" thickBot="1" x14ac:dyDescent="0.3">
      <c r="A28" s="227" t="s">
        <v>298</v>
      </c>
      <c r="B28" s="228" t="s">
        <v>299</v>
      </c>
      <c r="C28" s="229">
        <v>37</v>
      </c>
      <c r="D28" s="230">
        <f>2.5+2.5+2.5+2+2+2+2+2+2</f>
        <v>19.5</v>
      </c>
      <c r="E28" s="231">
        <f>4.2+4.8+2.5+2.9+5.1+3+1.6+3.3+2.5</f>
        <v>29.900000000000002</v>
      </c>
      <c r="F28" s="214">
        <v>2</v>
      </c>
      <c r="G28" s="232">
        <v>2.5</v>
      </c>
      <c r="H28" s="222">
        <f t="shared" si="0"/>
        <v>47.400000000000006</v>
      </c>
    </row>
    <row r="29" spans="1:8" ht="16.5" thickBot="1" x14ac:dyDescent="0.3">
      <c r="A29" s="233" t="s">
        <v>300</v>
      </c>
      <c r="B29" s="234" t="s">
        <v>301</v>
      </c>
      <c r="C29" s="194">
        <v>334.4</v>
      </c>
      <c r="D29" s="235">
        <f>D30+D31</f>
        <v>243.29999999999995</v>
      </c>
      <c r="E29" s="236">
        <f>E30+E31</f>
        <v>232.29999999999995</v>
      </c>
      <c r="F29" s="237">
        <f>SUM(F30:F31)</f>
        <v>23.7</v>
      </c>
      <c r="G29" s="238">
        <f>G30+G31</f>
        <v>23.5</v>
      </c>
      <c r="H29" s="216">
        <f t="shared" si="0"/>
        <v>323.39999999999998</v>
      </c>
    </row>
    <row r="30" spans="1:8" ht="15.75" x14ac:dyDescent="0.25">
      <c r="A30" s="239" t="s">
        <v>302</v>
      </c>
      <c r="B30" s="240" t="s">
        <v>303</v>
      </c>
      <c r="C30" s="241">
        <v>56</v>
      </c>
      <c r="D30" s="242">
        <f>0.5+0.5+10.5+0.5+10.5+0.5+0.5+10.5+0.5</f>
        <v>34.5</v>
      </c>
      <c r="E30" s="243">
        <f>0+7.3+0.3+17.7+0.3+20.2+0.3+0.3+0.3</f>
        <v>46.699999999999989</v>
      </c>
      <c r="F30" s="244">
        <v>0.5</v>
      </c>
      <c r="G30" s="245">
        <v>0.3</v>
      </c>
      <c r="H30" s="246">
        <f t="shared" si="0"/>
        <v>68.199999999999989</v>
      </c>
    </row>
    <row r="31" spans="1:8" ht="31.5" x14ac:dyDescent="0.25">
      <c r="A31" s="217" t="s">
        <v>304</v>
      </c>
      <c r="B31" s="210" t="s">
        <v>305</v>
      </c>
      <c r="C31" s="219">
        <v>278.39999999999998</v>
      </c>
      <c r="D31" s="220">
        <f>23.2+23.2+23.2+23.2+23.2+23.2+23.2+23.2+23.2</f>
        <v>208.79999999999995</v>
      </c>
      <c r="E31" s="243">
        <f>23.2+23.2+23.2+23.2+23.2+23.2+23.2+23.2</f>
        <v>185.59999999999997</v>
      </c>
      <c r="F31" s="247">
        <v>23.2</v>
      </c>
      <c r="G31" s="248">
        <v>23.2</v>
      </c>
      <c r="H31" s="249">
        <f t="shared" si="0"/>
        <v>255.2</v>
      </c>
    </row>
    <row r="32" spans="1:8" ht="16.5" thickBot="1" x14ac:dyDescent="0.3">
      <c r="A32" s="250" t="s">
        <v>306</v>
      </c>
      <c r="B32" s="228" t="s">
        <v>307</v>
      </c>
      <c r="C32" s="229">
        <v>115</v>
      </c>
      <c r="D32" s="230">
        <f>5+20+5+20+5+10+10</f>
        <v>75</v>
      </c>
      <c r="E32" s="251">
        <f>0.6+0+0+0+11.8+13.8</f>
        <v>26.200000000000003</v>
      </c>
      <c r="F32" s="252">
        <v>0</v>
      </c>
      <c r="G32" s="253">
        <v>0</v>
      </c>
      <c r="H32" s="254">
        <f t="shared" si="0"/>
        <v>66.2</v>
      </c>
    </row>
    <row r="33" spans="1:8" ht="16.5" thickBot="1" x14ac:dyDescent="0.3">
      <c r="A33" s="255" t="s">
        <v>308</v>
      </c>
      <c r="B33" s="234" t="s">
        <v>309</v>
      </c>
      <c r="C33" s="194">
        <v>60.1</v>
      </c>
      <c r="D33" s="235">
        <f>D34+D35</f>
        <v>42.5</v>
      </c>
      <c r="E33" s="236">
        <f>E34+E35</f>
        <v>41</v>
      </c>
      <c r="F33" s="238">
        <f>F34+F35</f>
        <v>4.5999999999999996</v>
      </c>
      <c r="G33" s="238">
        <f>G34+G35</f>
        <v>3.4</v>
      </c>
      <c r="H33" s="216">
        <f t="shared" si="0"/>
        <v>58.6</v>
      </c>
    </row>
    <row r="34" spans="1:8" ht="15.75" x14ac:dyDescent="0.25">
      <c r="A34" s="239" t="s">
        <v>310</v>
      </c>
      <c r="B34" s="256" t="s">
        <v>311</v>
      </c>
      <c r="C34" s="257">
        <v>36.299999999999997</v>
      </c>
      <c r="D34" s="242">
        <f>2.8+2.7+3.2+2.4+2.6+2.3+4.5+4.5+4</f>
        <v>29</v>
      </c>
      <c r="E34" s="243">
        <f>2.8+7.8+3.7+0+1.6+4.5+4.2+0.4+3</f>
        <v>27.999999999999996</v>
      </c>
      <c r="F34" s="244">
        <v>4</v>
      </c>
      <c r="G34" s="258">
        <v>3</v>
      </c>
      <c r="H34" s="246">
        <f t="shared" si="0"/>
        <v>35.299999999999997</v>
      </c>
    </row>
    <row r="35" spans="1:8" ht="31.5" x14ac:dyDescent="0.25">
      <c r="A35" s="259" t="s">
        <v>312</v>
      </c>
      <c r="B35" s="210" t="s">
        <v>313</v>
      </c>
      <c r="C35" s="219">
        <v>23.8</v>
      </c>
      <c r="D35" s="220">
        <f>3+3+2.5+2+0.6+0.6+0.6+0.6+0.6</f>
        <v>13.499999999999998</v>
      </c>
      <c r="E35" s="243">
        <f>2.8+2.5+3.8+1.6+0.4+0.5+0.5+0.5+0.4</f>
        <v>13</v>
      </c>
      <c r="F35" s="247">
        <v>0.6</v>
      </c>
      <c r="G35" s="260">
        <v>0.4</v>
      </c>
      <c r="H35" s="222">
        <f t="shared" si="0"/>
        <v>23.300000000000004</v>
      </c>
    </row>
    <row r="36" spans="1:8" ht="16.5" thickBot="1" x14ac:dyDescent="0.3">
      <c r="A36" s="250" t="s">
        <v>314</v>
      </c>
      <c r="B36" s="261" t="s">
        <v>315</v>
      </c>
      <c r="C36" s="229">
        <v>3.6</v>
      </c>
      <c r="D36" s="230">
        <f>0.3+0.3+0.3+0.3+0.3+0.3+0.3+0.3+0.3</f>
        <v>2.6999999999999997</v>
      </c>
      <c r="E36" s="251">
        <f>0.3+0.3+0.3+0.3+0.3+0.3+0.3+0.3+0.3</f>
        <v>2.6999999999999997</v>
      </c>
      <c r="F36" s="252">
        <v>0.3</v>
      </c>
      <c r="G36" s="262">
        <v>0.3</v>
      </c>
      <c r="H36" s="254">
        <f t="shared" si="0"/>
        <v>3.6</v>
      </c>
    </row>
    <row r="37" spans="1:8" ht="16.5" thickBot="1" x14ac:dyDescent="0.3">
      <c r="A37" s="263" t="s">
        <v>316</v>
      </c>
      <c r="B37" s="264" t="s">
        <v>317</v>
      </c>
      <c r="C37" s="194">
        <v>18.7</v>
      </c>
      <c r="D37" s="265">
        <f>D38+D39+D40+D41</f>
        <v>15.2</v>
      </c>
      <c r="E37" s="236">
        <f>E38+E39+E40+E41</f>
        <v>13.099999999999998</v>
      </c>
      <c r="F37" s="236">
        <f>F38+F39+F40+F41</f>
        <v>0.5</v>
      </c>
      <c r="G37" s="236">
        <f>G38+G39+G40+G41</f>
        <v>2.3000000000000003</v>
      </c>
      <c r="H37" s="216">
        <f t="shared" si="0"/>
        <v>16.599999999999998</v>
      </c>
    </row>
    <row r="38" spans="1:8" ht="47.25" x14ac:dyDescent="0.25">
      <c r="A38" s="198" t="s">
        <v>318</v>
      </c>
      <c r="B38" s="266" t="s">
        <v>319</v>
      </c>
      <c r="C38" s="267">
        <v>3.6</v>
      </c>
      <c r="D38" s="242">
        <f>0.3+0.3+0.3+0.3+0.3+0.3+0.3+0.3+0.3</f>
        <v>2.6999999999999997</v>
      </c>
      <c r="E38" s="243">
        <f>0.3+0.3+0.3+0.3+0.3+0.3+0.3+0.7+0.3</f>
        <v>3.0999999999999996</v>
      </c>
      <c r="F38" s="268">
        <v>0.3</v>
      </c>
      <c r="G38" s="260">
        <v>0.3</v>
      </c>
      <c r="H38" s="246">
        <f t="shared" si="0"/>
        <v>4</v>
      </c>
    </row>
    <row r="39" spans="1:8" ht="15.75" x14ac:dyDescent="0.25">
      <c r="A39" s="226" t="s">
        <v>320</v>
      </c>
      <c r="B39" s="269" t="s">
        <v>321</v>
      </c>
      <c r="C39" s="270">
        <v>2.4</v>
      </c>
      <c r="D39" s="220">
        <f>0.2+0.2+0.2+0.2+0.2+0.2+0.2+0.2+0.2</f>
        <v>1.7999999999999998</v>
      </c>
      <c r="E39" s="243">
        <f>0.1+0.1+0.1+0.1+0.1+0.1+0.1+0.1+0.1</f>
        <v>0.89999999999999991</v>
      </c>
      <c r="F39" s="271">
        <v>0.2</v>
      </c>
      <c r="G39" s="272">
        <v>0.1</v>
      </c>
      <c r="H39" s="222">
        <f t="shared" si="0"/>
        <v>1.5</v>
      </c>
    </row>
    <row r="40" spans="1:8" ht="15.75" x14ac:dyDescent="0.25">
      <c r="A40" s="226" t="s">
        <v>322</v>
      </c>
      <c r="B40" s="269" t="s">
        <v>323</v>
      </c>
      <c r="C40" s="270">
        <v>6.5</v>
      </c>
      <c r="D40" s="220">
        <f>1.5+0.5+0+1+0+1+0+0.5</f>
        <v>4.5</v>
      </c>
      <c r="E40" s="243">
        <f>0+0+0+1+0.8+0.2+1.3</f>
        <v>3.3</v>
      </c>
      <c r="F40" s="271">
        <v>0</v>
      </c>
      <c r="G40" s="272">
        <v>1.3</v>
      </c>
      <c r="H40" s="222">
        <f t="shared" si="0"/>
        <v>5.3</v>
      </c>
    </row>
    <row r="41" spans="1:8" ht="32.25" thickBot="1" x14ac:dyDescent="0.3">
      <c r="A41" s="226" t="s">
        <v>324</v>
      </c>
      <c r="B41" s="273" t="s">
        <v>325</v>
      </c>
      <c r="C41" s="270">
        <v>6.2</v>
      </c>
      <c r="D41" s="220">
        <f>3.4+0.8+0+2</f>
        <v>6.2</v>
      </c>
      <c r="E41" s="243">
        <f>3.4+0.8+0.7+0.3+0.6</f>
        <v>5.8</v>
      </c>
      <c r="F41" s="274">
        <v>0</v>
      </c>
      <c r="G41" s="275">
        <v>0.6</v>
      </c>
      <c r="H41" s="254">
        <f t="shared" si="0"/>
        <v>5.8</v>
      </c>
    </row>
    <row r="42" spans="1:8" ht="16.5" thickBot="1" x14ac:dyDescent="0.3">
      <c r="A42" s="276" t="s">
        <v>326</v>
      </c>
      <c r="B42" s="277" t="s">
        <v>109</v>
      </c>
      <c r="C42" s="278">
        <v>138.69999999999999</v>
      </c>
      <c r="D42" s="235">
        <f>D43+D44+D45+D46+D47</f>
        <v>114.7</v>
      </c>
      <c r="E42" s="236">
        <f>E43+E44+E45+E46+E47</f>
        <v>65.8</v>
      </c>
      <c r="F42" s="237">
        <f>F43+F44+F45+F46+F47</f>
        <v>9</v>
      </c>
      <c r="G42" s="237">
        <f>G43+G44+G45+G46+G47</f>
        <v>3.2</v>
      </c>
      <c r="H42" s="216">
        <f t="shared" si="0"/>
        <v>89.799999999999983</v>
      </c>
    </row>
    <row r="43" spans="1:8" ht="15.75" x14ac:dyDescent="0.25">
      <c r="A43" s="198" t="s">
        <v>327</v>
      </c>
      <c r="B43" s="266" t="s">
        <v>328</v>
      </c>
      <c r="C43" s="267">
        <v>9.3000000000000007</v>
      </c>
      <c r="D43" s="242">
        <f>0.7+0.7+0.7+0.8+0.8+0.8+0.8+0.8+0.8</f>
        <v>6.8999999999999986</v>
      </c>
      <c r="E43" s="221">
        <f>0.8+0.8+0.8+0.8+0.8+0.8+0.8+0.8+0.8</f>
        <v>7.1999999999999993</v>
      </c>
      <c r="F43" s="208">
        <v>0.8</v>
      </c>
      <c r="G43" s="212">
        <v>0.8</v>
      </c>
      <c r="H43" s="249">
        <f t="shared" si="0"/>
        <v>9.6000000000000014</v>
      </c>
    </row>
    <row r="44" spans="1:8" ht="15.75" x14ac:dyDescent="0.25">
      <c r="A44" s="226" t="s">
        <v>329</v>
      </c>
      <c r="B44" s="269" t="s">
        <v>330</v>
      </c>
      <c r="C44" s="270">
        <v>2.4</v>
      </c>
      <c r="D44" s="220">
        <f>0.2+0.2+0.2+0.2+0.2+0.2+0.2+0.2+0.2</f>
        <v>1.7999999999999998</v>
      </c>
      <c r="E44" s="221">
        <v>0</v>
      </c>
      <c r="F44" s="212">
        <v>0.2</v>
      </c>
      <c r="G44" s="212">
        <v>0</v>
      </c>
      <c r="H44" s="222">
        <f t="shared" si="0"/>
        <v>0.60000000000000009</v>
      </c>
    </row>
    <row r="45" spans="1:8" ht="15.75" x14ac:dyDescent="0.25">
      <c r="A45" s="226" t="s">
        <v>331</v>
      </c>
      <c r="B45" s="269" t="s">
        <v>332</v>
      </c>
      <c r="C45" s="270">
        <v>103</v>
      </c>
      <c r="D45" s="220">
        <f>22+10+10+8+8+8+5+6+7</f>
        <v>84</v>
      </c>
      <c r="E45" s="221">
        <f>21.6+11.7+0.9+0.3+0.6+0.9+1.1+1.2+2.4</f>
        <v>40.699999999999996</v>
      </c>
      <c r="F45" s="212">
        <v>7</v>
      </c>
      <c r="G45" s="212">
        <v>2.4</v>
      </c>
      <c r="H45" s="222">
        <f t="shared" si="0"/>
        <v>59.699999999999996</v>
      </c>
    </row>
    <row r="46" spans="1:8" ht="15.75" x14ac:dyDescent="0.25">
      <c r="A46" s="226" t="s">
        <v>333</v>
      </c>
      <c r="B46" s="269" t="s">
        <v>334</v>
      </c>
      <c r="C46" s="270">
        <v>0</v>
      </c>
      <c r="D46" s="220">
        <v>0</v>
      </c>
      <c r="E46" s="221">
        <f>0+0+0+0+0</f>
        <v>0</v>
      </c>
      <c r="F46" s="212">
        <v>0</v>
      </c>
      <c r="G46" s="212">
        <v>0</v>
      </c>
      <c r="H46" s="222">
        <f t="shared" si="0"/>
        <v>0</v>
      </c>
    </row>
    <row r="47" spans="1:8" ht="16.5" thickBot="1" x14ac:dyDescent="0.3">
      <c r="A47" s="250" t="s">
        <v>335</v>
      </c>
      <c r="B47" s="279" t="s">
        <v>336</v>
      </c>
      <c r="C47" s="229">
        <v>24</v>
      </c>
      <c r="D47" s="220">
        <f>1+1+3+7+7+0.5+1+0.5+1</f>
        <v>22</v>
      </c>
      <c r="E47" s="221">
        <f>3+0.7+6.7+6.7+0.8</f>
        <v>17.900000000000002</v>
      </c>
      <c r="F47" s="280">
        <v>1</v>
      </c>
      <c r="G47" s="280">
        <v>0</v>
      </c>
      <c r="H47" s="281">
        <f t="shared" si="0"/>
        <v>19.900000000000002</v>
      </c>
    </row>
    <row r="48" spans="1:8" ht="32.25" thickBot="1" x14ac:dyDescent="0.3">
      <c r="A48" s="191" t="s">
        <v>337</v>
      </c>
      <c r="B48" s="192" t="s">
        <v>338</v>
      </c>
      <c r="C48" s="282">
        <v>166.6</v>
      </c>
      <c r="D48" s="283">
        <f>SUM(D15-D23)</f>
        <v>166.00000000000091</v>
      </c>
      <c r="E48" s="284">
        <f>SUM(E15-E23)</f>
        <v>183.50000000000045</v>
      </c>
      <c r="F48" s="285">
        <f>SUM(F15-F23)</f>
        <v>15.399999999999949</v>
      </c>
      <c r="G48" s="284">
        <f>SUM(G15-G23)</f>
        <v>14.89999999999992</v>
      </c>
      <c r="H48" s="216">
        <f>C48-D48+E48</f>
        <v>184.09999999999954</v>
      </c>
    </row>
    <row r="49" spans="1:8" ht="15.75" x14ac:dyDescent="0.25">
      <c r="A49" s="286" t="s">
        <v>339</v>
      </c>
      <c r="B49" s="256" t="s">
        <v>340</v>
      </c>
      <c r="C49" s="241"/>
      <c r="D49" s="242"/>
      <c r="E49" s="221"/>
      <c r="F49" s="203"/>
      <c r="G49" s="243"/>
      <c r="H49" s="246">
        <f t="shared" si="0"/>
        <v>0</v>
      </c>
    </row>
    <row r="50" spans="1:8" ht="31.5" x14ac:dyDescent="0.25">
      <c r="A50" s="259" t="s">
        <v>341</v>
      </c>
      <c r="B50" s="218" t="s">
        <v>342</v>
      </c>
      <c r="C50" s="219"/>
      <c r="D50" s="220"/>
      <c r="E50" s="287"/>
      <c r="F50" s="212"/>
      <c r="G50" s="248"/>
      <c r="H50" s="222">
        <f t="shared" si="0"/>
        <v>0</v>
      </c>
    </row>
    <row r="51" spans="1:8" ht="15.75" x14ac:dyDescent="0.25">
      <c r="A51" s="259" t="s">
        <v>343</v>
      </c>
      <c r="B51" s="218" t="s">
        <v>344</v>
      </c>
      <c r="C51" s="224">
        <v>18</v>
      </c>
      <c r="D51" s="220">
        <v>18</v>
      </c>
      <c r="E51" s="287">
        <v>14.4</v>
      </c>
      <c r="F51" s="212">
        <v>0</v>
      </c>
      <c r="G51" s="248">
        <v>0</v>
      </c>
      <c r="H51" s="222">
        <v>0</v>
      </c>
    </row>
    <row r="52" spans="1:8" ht="31.5" x14ac:dyDescent="0.25">
      <c r="A52" s="429" t="s">
        <v>345</v>
      </c>
      <c r="B52" s="218" t="s">
        <v>346</v>
      </c>
      <c r="C52" s="224">
        <v>100</v>
      </c>
      <c r="D52" s="220">
        <f>60+10+10</f>
        <v>80</v>
      </c>
      <c r="E52" s="287">
        <f>17.4+18.6</f>
        <v>36</v>
      </c>
      <c r="F52" s="247">
        <v>0</v>
      </c>
      <c r="G52" s="248">
        <v>0</v>
      </c>
      <c r="H52" s="222">
        <f>C52-D52+E52</f>
        <v>56</v>
      </c>
    </row>
    <row r="53" spans="1:8" ht="16.5" thickBot="1" x14ac:dyDescent="0.3">
      <c r="A53" s="430"/>
      <c r="B53" s="288" t="s">
        <v>347</v>
      </c>
      <c r="C53" s="289"/>
      <c r="D53" s="290"/>
      <c r="E53" s="291"/>
      <c r="F53" s="292"/>
      <c r="G53" s="293"/>
      <c r="H53" s="294"/>
    </row>
    <row r="54" spans="1:8" ht="15.75" x14ac:dyDescent="0.25">
      <c r="A54" s="190"/>
      <c r="B54" s="295"/>
      <c r="C54" s="296"/>
      <c r="D54" s="297"/>
      <c r="E54" s="297"/>
      <c r="F54" s="297"/>
      <c r="G54" s="297"/>
      <c r="H54" s="296"/>
    </row>
    <row r="55" spans="1:8" ht="15.75" x14ac:dyDescent="0.25">
      <c r="A55" s="190"/>
      <c r="B55" s="295"/>
      <c r="C55" s="296"/>
      <c r="D55" s="297"/>
      <c r="E55" s="297"/>
      <c r="F55" s="297"/>
      <c r="G55" s="297"/>
      <c r="H55" s="296"/>
    </row>
    <row r="56" spans="1:8" ht="15.75" x14ac:dyDescent="0.25">
      <c r="A56" s="190"/>
      <c r="B56" s="295"/>
      <c r="C56" s="296"/>
      <c r="D56" s="297"/>
      <c r="E56" s="297"/>
      <c r="F56" s="297"/>
      <c r="G56" s="297"/>
      <c r="H56" s="296"/>
    </row>
    <row r="57" spans="1:8" ht="15.75" x14ac:dyDescent="0.25">
      <c r="A57" s="298"/>
      <c r="B57" s="184"/>
      <c r="C57" s="185"/>
      <c r="D57" s="187"/>
      <c r="E57" s="187"/>
      <c r="F57" s="187"/>
      <c r="G57" s="184"/>
      <c r="H57" s="185"/>
    </row>
    <row r="58" spans="1:8" s="305" customFormat="1" ht="16.5" customHeight="1" x14ac:dyDescent="0.25">
      <c r="A58" s="299"/>
      <c r="B58" s="300" t="s">
        <v>348</v>
      </c>
      <c r="C58" s="301"/>
      <c r="D58" s="302"/>
      <c r="E58" s="303" t="s">
        <v>216</v>
      </c>
      <c r="F58" s="300"/>
      <c r="G58" s="304"/>
    </row>
    <row r="59" spans="1:8" s="305" customFormat="1" ht="16.5" customHeight="1" x14ac:dyDescent="0.25">
      <c r="A59" s="299"/>
      <c r="B59" s="19"/>
      <c r="C59" s="306"/>
      <c r="D59" s="302"/>
      <c r="E59" s="307"/>
      <c r="F59" s="300"/>
      <c r="G59" s="19"/>
    </row>
    <row r="60" spans="1:8" s="305" customFormat="1" ht="16.5" customHeight="1" x14ac:dyDescent="0.25">
      <c r="A60" s="308"/>
      <c r="F60" s="300"/>
      <c r="G60" s="19"/>
    </row>
    <row r="61" spans="1:8" ht="15.75" x14ac:dyDescent="0.25">
      <c r="B61" s="300" t="s">
        <v>217</v>
      </c>
      <c r="C61" s="308"/>
      <c r="D61" s="308"/>
      <c r="E61" s="303" t="s">
        <v>218</v>
      </c>
    </row>
  </sheetData>
  <mergeCells count="12">
    <mergeCell ref="H13:H14"/>
    <mergeCell ref="A52:A53"/>
    <mergeCell ref="E1:H1"/>
    <mergeCell ref="E2:H2"/>
    <mergeCell ref="E4:H4"/>
    <mergeCell ref="A8:H8"/>
    <mergeCell ref="A9:H9"/>
    <mergeCell ref="A13:A14"/>
    <mergeCell ref="B13:B14"/>
    <mergeCell ref="C13:C14"/>
    <mergeCell ref="D13:E13"/>
    <mergeCell ref="F13:G13"/>
  </mergeCells>
  <pageMargins left="0.70866141732283472" right="0.55118110236220474" top="0.35433070866141736" bottom="0.27559055118110237" header="0.31496062992125984" footer="0.31496062992125984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zoomScale="120" zoomScaleNormal="120" workbookViewId="0">
      <selection activeCell="F40" sqref="F40"/>
    </sheetView>
  </sheetViews>
  <sheetFormatPr defaultRowHeight="12.75" x14ac:dyDescent="0.2"/>
  <cols>
    <col min="1" max="1" width="5.28515625" style="87" customWidth="1"/>
    <col min="2" max="2" width="5.7109375" style="88" customWidth="1"/>
    <col min="3" max="3" width="30.5703125" style="88" customWidth="1"/>
    <col min="4" max="4" width="8.5703125" style="88" customWidth="1"/>
    <col min="5" max="5" width="8.140625" style="88" customWidth="1"/>
    <col min="6" max="6" width="8.7109375" style="88" customWidth="1"/>
    <col min="7" max="7" width="8.140625" style="88" customWidth="1"/>
    <col min="8" max="8" width="7.85546875" style="88" customWidth="1"/>
    <col min="9" max="256" width="9.140625" style="87"/>
    <col min="257" max="257" width="5.28515625" style="87" customWidth="1"/>
    <col min="258" max="258" width="5.7109375" style="87" customWidth="1"/>
    <col min="259" max="259" width="30.5703125" style="87" customWidth="1"/>
    <col min="260" max="260" width="8.5703125" style="87" customWidth="1"/>
    <col min="261" max="261" width="8.140625" style="87" customWidth="1"/>
    <col min="262" max="262" width="8.7109375" style="87" customWidth="1"/>
    <col min="263" max="263" width="8.140625" style="87" customWidth="1"/>
    <col min="264" max="264" width="7.85546875" style="87" customWidth="1"/>
    <col min="265" max="512" width="9.140625" style="87"/>
    <col min="513" max="513" width="5.28515625" style="87" customWidth="1"/>
    <col min="514" max="514" width="5.7109375" style="87" customWidth="1"/>
    <col min="515" max="515" width="30.5703125" style="87" customWidth="1"/>
    <col min="516" max="516" width="8.5703125" style="87" customWidth="1"/>
    <col min="517" max="517" width="8.140625" style="87" customWidth="1"/>
    <col min="518" max="518" width="8.7109375" style="87" customWidth="1"/>
    <col min="519" max="519" width="8.140625" style="87" customWidth="1"/>
    <col min="520" max="520" width="7.85546875" style="87" customWidth="1"/>
    <col min="521" max="768" width="9.140625" style="87"/>
    <col min="769" max="769" width="5.28515625" style="87" customWidth="1"/>
    <col min="770" max="770" width="5.7109375" style="87" customWidth="1"/>
    <col min="771" max="771" width="30.5703125" style="87" customWidth="1"/>
    <col min="772" max="772" width="8.5703125" style="87" customWidth="1"/>
    <col min="773" max="773" width="8.140625" style="87" customWidth="1"/>
    <col min="774" max="774" width="8.7109375" style="87" customWidth="1"/>
    <col min="775" max="775" width="8.140625" style="87" customWidth="1"/>
    <col min="776" max="776" width="7.85546875" style="87" customWidth="1"/>
    <col min="777" max="1024" width="9.140625" style="87"/>
    <col min="1025" max="1025" width="5.28515625" style="87" customWidth="1"/>
    <col min="1026" max="1026" width="5.7109375" style="87" customWidth="1"/>
    <col min="1027" max="1027" width="30.5703125" style="87" customWidth="1"/>
    <col min="1028" max="1028" width="8.5703125" style="87" customWidth="1"/>
    <col min="1029" max="1029" width="8.140625" style="87" customWidth="1"/>
    <col min="1030" max="1030" width="8.7109375" style="87" customWidth="1"/>
    <col min="1031" max="1031" width="8.140625" style="87" customWidth="1"/>
    <col min="1032" max="1032" width="7.85546875" style="87" customWidth="1"/>
    <col min="1033" max="1280" width="9.140625" style="87"/>
    <col min="1281" max="1281" width="5.28515625" style="87" customWidth="1"/>
    <col min="1282" max="1282" width="5.7109375" style="87" customWidth="1"/>
    <col min="1283" max="1283" width="30.5703125" style="87" customWidth="1"/>
    <col min="1284" max="1284" width="8.5703125" style="87" customWidth="1"/>
    <col min="1285" max="1285" width="8.140625" style="87" customWidth="1"/>
    <col min="1286" max="1286" width="8.7109375" style="87" customWidth="1"/>
    <col min="1287" max="1287" width="8.140625" style="87" customWidth="1"/>
    <col min="1288" max="1288" width="7.85546875" style="87" customWidth="1"/>
    <col min="1289" max="1536" width="9.140625" style="87"/>
    <col min="1537" max="1537" width="5.28515625" style="87" customWidth="1"/>
    <col min="1538" max="1538" width="5.7109375" style="87" customWidth="1"/>
    <col min="1539" max="1539" width="30.5703125" style="87" customWidth="1"/>
    <col min="1540" max="1540" width="8.5703125" style="87" customWidth="1"/>
    <col min="1541" max="1541" width="8.140625" style="87" customWidth="1"/>
    <col min="1542" max="1542" width="8.7109375" style="87" customWidth="1"/>
    <col min="1543" max="1543" width="8.140625" style="87" customWidth="1"/>
    <col min="1544" max="1544" width="7.85546875" style="87" customWidth="1"/>
    <col min="1545" max="1792" width="9.140625" style="87"/>
    <col min="1793" max="1793" width="5.28515625" style="87" customWidth="1"/>
    <col min="1794" max="1794" width="5.7109375" style="87" customWidth="1"/>
    <col min="1795" max="1795" width="30.5703125" style="87" customWidth="1"/>
    <col min="1796" max="1796" width="8.5703125" style="87" customWidth="1"/>
    <col min="1797" max="1797" width="8.140625" style="87" customWidth="1"/>
    <col min="1798" max="1798" width="8.7109375" style="87" customWidth="1"/>
    <col min="1799" max="1799" width="8.140625" style="87" customWidth="1"/>
    <col min="1800" max="1800" width="7.85546875" style="87" customWidth="1"/>
    <col min="1801" max="2048" width="9.140625" style="87"/>
    <col min="2049" max="2049" width="5.28515625" style="87" customWidth="1"/>
    <col min="2050" max="2050" width="5.7109375" style="87" customWidth="1"/>
    <col min="2051" max="2051" width="30.5703125" style="87" customWidth="1"/>
    <col min="2052" max="2052" width="8.5703125" style="87" customWidth="1"/>
    <col min="2053" max="2053" width="8.140625" style="87" customWidth="1"/>
    <col min="2054" max="2054" width="8.7109375" style="87" customWidth="1"/>
    <col min="2055" max="2055" width="8.140625" style="87" customWidth="1"/>
    <col min="2056" max="2056" width="7.85546875" style="87" customWidth="1"/>
    <col min="2057" max="2304" width="9.140625" style="87"/>
    <col min="2305" max="2305" width="5.28515625" style="87" customWidth="1"/>
    <col min="2306" max="2306" width="5.7109375" style="87" customWidth="1"/>
    <col min="2307" max="2307" width="30.5703125" style="87" customWidth="1"/>
    <col min="2308" max="2308" width="8.5703125" style="87" customWidth="1"/>
    <col min="2309" max="2309" width="8.140625" style="87" customWidth="1"/>
    <col min="2310" max="2310" width="8.7109375" style="87" customWidth="1"/>
    <col min="2311" max="2311" width="8.140625" style="87" customWidth="1"/>
    <col min="2312" max="2312" width="7.85546875" style="87" customWidth="1"/>
    <col min="2313" max="2560" width="9.140625" style="87"/>
    <col min="2561" max="2561" width="5.28515625" style="87" customWidth="1"/>
    <col min="2562" max="2562" width="5.7109375" style="87" customWidth="1"/>
    <col min="2563" max="2563" width="30.5703125" style="87" customWidth="1"/>
    <col min="2564" max="2564" width="8.5703125" style="87" customWidth="1"/>
    <col min="2565" max="2565" width="8.140625" style="87" customWidth="1"/>
    <col min="2566" max="2566" width="8.7109375" style="87" customWidth="1"/>
    <col min="2567" max="2567" width="8.140625" style="87" customWidth="1"/>
    <col min="2568" max="2568" width="7.85546875" style="87" customWidth="1"/>
    <col min="2569" max="2816" width="9.140625" style="87"/>
    <col min="2817" max="2817" width="5.28515625" style="87" customWidth="1"/>
    <col min="2818" max="2818" width="5.7109375" style="87" customWidth="1"/>
    <col min="2819" max="2819" width="30.5703125" style="87" customWidth="1"/>
    <col min="2820" max="2820" width="8.5703125" style="87" customWidth="1"/>
    <col min="2821" max="2821" width="8.140625" style="87" customWidth="1"/>
    <col min="2822" max="2822" width="8.7109375" style="87" customWidth="1"/>
    <col min="2823" max="2823" width="8.140625" style="87" customWidth="1"/>
    <col min="2824" max="2824" width="7.85546875" style="87" customWidth="1"/>
    <col min="2825" max="3072" width="9.140625" style="87"/>
    <col min="3073" max="3073" width="5.28515625" style="87" customWidth="1"/>
    <col min="3074" max="3074" width="5.7109375" style="87" customWidth="1"/>
    <col min="3075" max="3075" width="30.5703125" style="87" customWidth="1"/>
    <col min="3076" max="3076" width="8.5703125" style="87" customWidth="1"/>
    <col min="3077" max="3077" width="8.140625" style="87" customWidth="1"/>
    <col min="3078" max="3078" width="8.7109375" style="87" customWidth="1"/>
    <col min="3079" max="3079" width="8.140625" style="87" customWidth="1"/>
    <col min="3080" max="3080" width="7.85546875" style="87" customWidth="1"/>
    <col min="3081" max="3328" width="9.140625" style="87"/>
    <col min="3329" max="3329" width="5.28515625" style="87" customWidth="1"/>
    <col min="3330" max="3330" width="5.7109375" style="87" customWidth="1"/>
    <col min="3331" max="3331" width="30.5703125" style="87" customWidth="1"/>
    <col min="3332" max="3332" width="8.5703125" style="87" customWidth="1"/>
    <col min="3333" max="3333" width="8.140625" style="87" customWidth="1"/>
    <col min="3334" max="3334" width="8.7109375" style="87" customWidth="1"/>
    <col min="3335" max="3335" width="8.140625" style="87" customWidth="1"/>
    <col min="3336" max="3336" width="7.85546875" style="87" customWidth="1"/>
    <col min="3337" max="3584" width="9.140625" style="87"/>
    <col min="3585" max="3585" width="5.28515625" style="87" customWidth="1"/>
    <col min="3586" max="3586" width="5.7109375" style="87" customWidth="1"/>
    <col min="3587" max="3587" width="30.5703125" style="87" customWidth="1"/>
    <col min="3588" max="3588" width="8.5703125" style="87" customWidth="1"/>
    <col min="3589" max="3589" width="8.140625" style="87" customWidth="1"/>
    <col min="3590" max="3590" width="8.7109375" style="87" customWidth="1"/>
    <col min="3591" max="3591" width="8.140625" style="87" customWidth="1"/>
    <col min="3592" max="3592" width="7.85546875" style="87" customWidth="1"/>
    <col min="3593" max="3840" width="9.140625" style="87"/>
    <col min="3841" max="3841" width="5.28515625" style="87" customWidth="1"/>
    <col min="3842" max="3842" width="5.7109375" style="87" customWidth="1"/>
    <col min="3843" max="3843" width="30.5703125" style="87" customWidth="1"/>
    <col min="3844" max="3844" width="8.5703125" style="87" customWidth="1"/>
    <col min="3845" max="3845" width="8.140625" style="87" customWidth="1"/>
    <col min="3846" max="3846" width="8.7109375" style="87" customWidth="1"/>
    <col min="3847" max="3847" width="8.140625" style="87" customWidth="1"/>
    <col min="3848" max="3848" width="7.85546875" style="87" customWidth="1"/>
    <col min="3849" max="4096" width="9.140625" style="87"/>
    <col min="4097" max="4097" width="5.28515625" style="87" customWidth="1"/>
    <col min="4098" max="4098" width="5.7109375" style="87" customWidth="1"/>
    <col min="4099" max="4099" width="30.5703125" style="87" customWidth="1"/>
    <col min="4100" max="4100" width="8.5703125" style="87" customWidth="1"/>
    <col min="4101" max="4101" width="8.140625" style="87" customWidth="1"/>
    <col min="4102" max="4102" width="8.7109375" style="87" customWidth="1"/>
    <col min="4103" max="4103" width="8.140625" style="87" customWidth="1"/>
    <col min="4104" max="4104" width="7.85546875" style="87" customWidth="1"/>
    <col min="4105" max="4352" width="9.140625" style="87"/>
    <col min="4353" max="4353" width="5.28515625" style="87" customWidth="1"/>
    <col min="4354" max="4354" width="5.7109375" style="87" customWidth="1"/>
    <col min="4355" max="4355" width="30.5703125" style="87" customWidth="1"/>
    <col min="4356" max="4356" width="8.5703125" style="87" customWidth="1"/>
    <col min="4357" max="4357" width="8.140625" style="87" customWidth="1"/>
    <col min="4358" max="4358" width="8.7109375" style="87" customWidth="1"/>
    <col min="4359" max="4359" width="8.140625" style="87" customWidth="1"/>
    <col min="4360" max="4360" width="7.85546875" style="87" customWidth="1"/>
    <col min="4361" max="4608" width="9.140625" style="87"/>
    <col min="4609" max="4609" width="5.28515625" style="87" customWidth="1"/>
    <col min="4610" max="4610" width="5.7109375" style="87" customWidth="1"/>
    <col min="4611" max="4611" width="30.5703125" style="87" customWidth="1"/>
    <col min="4612" max="4612" width="8.5703125" style="87" customWidth="1"/>
    <col min="4613" max="4613" width="8.140625" style="87" customWidth="1"/>
    <col min="4614" max="4614" width="8.7109375" style="87" customWidth="1"/>
    <col min="4615" max="4615" width="8.140625" style="87" customWidth="1"/>
    <col min="4616" max="4616" width="7.85546875" style="87" customWidth="1"/>
    <col min="4617" max="4864" width="9.140625" style="87"/>
    <col min="4865" max="4865" width="5.28515625" style="87" customWidth="1"/>
    <col min="4866" max="4866" width="5.7109375" style="87" customWidth="1"/>
    <col min="4867" max="4867" width="30.5703125" style="87" customWidth="1"/>
    <col min="4868" max="4868" width="8.5703125" style="87" customWidth="1"/>
    <col min="4869" max="4869" width="8.140625" style="87" customWidth="1"/>
    <col min="4870" max="4870" width="8.7109375" style="87" customWidth="1"/>
    <col min="4871" max="4871" width="8.140625" style="87" customWidth="1"/>
    <col min="4872" max="4872" width="7.85546875" style="87" customWidth="1"/>
    <col min="4873" max="5120" width="9.140625" style="87"/>
    <col min="5121" max="5121" width="5.28515625" style="87" customWidth="1"/>
    <col min="5122" max="5122" width="5.7109375" style="87" customWidth="1"/>
    <col min="5123" max="5123" width="30.5703125" style="87" customWidth="1"/>
    <col min="5124" max="5124" width="8.5703125" style="87" customWidth="1"/>
    <col min="5125" max="5125" width="8.140625" style="87" customWidth="1"/>
    <col min="5126" max="5126" width="8.7109375" style="87" customWidth="1"/>
    <col min="5127" max="5127" width="8.140625" style="87" customWidth="1"/>
    <col min="5128" max="5128" width="7.85546875" style="87" customWidth="1"/>
    <col min="5129" max="5376" width="9.140625" style="87"/>
    <col min="5377" max="5377" width="5.28515625" style="87" customWidth="1"/>
    <col min="5378" max="5378" width="5.7109375" style="87" customWidth="1"/>
    <col min="5379" max="5379" width="30.5703125" style="87" customWidth="1"/>
    <col min="5380" max="5380" width="8.5703125" style="87" customWidth="1"/>
    <col min="5381" max="5381" width="8.140625" style="87" customWidth="1"/>
    <col min="5382" max="5382" width="8.7109375" style="87" customWidth="1"/>
    <col min="5383" max="5383" width="8.140625" style="87" customWidth="1"/>
    <col min="5384" max="5384" width="7.85546875" style="87" customWidth="1"/>
    <col min="5385" max="5632" width="9.140625" style="87"/>
    <col min="5633" max="5633" width="5.28515625" style="87" customWidth="1"/>
    <col min="5634" max="5634" width="5.7109375" style="87" customWidth="1"/>
    <col min="5635" max="5635" width="30.5703125" style="87" customWidth="1"/>
    <col min="5636" max="5636" width="8.5703125" style="87" customWidth="1"/>
    <col min="5637" max="5637" width="8.140625" style="87" customWidth="1"/>
    <col min="5638" max="5638" width="8.7109375" style="87" customWidth="1"/>
    <col min="5639" max="5639" width="8.140625" style="87" customWidth="1"/>
    <col min="5640" max="5640" width="7.85546875" style="87" customWidth="1"/>
    <col min="5641" max="5888" width="9.140625" style="87"/>
    <col min="5889" max="5889" width="5.28515625" style="87" customWidth="1"/>
    <col min="5890" max="5890" width="5.7109375" style="87" customWidth="1"/>
    <col min="5891" max="5891" width="30.5703125" style="87" customWidth="1"/>
    <col min="5892" max="5892" width="8.5703125" style="87" customWidth="1"/>
    <col min="5893" max="5893" width="8.140625" style="87" customWidth="1"/>
    <col min="5894" max="5894" width="8.7109375" style="87" customWidth="1"/>
    <col min="5895" max="5895" width="8.140625" style="87" customWidth="1"/>
    <col min="5896" max="5896" width="7.85546875" style="87" customWidth="1"/>
    <col min="5897" max="6144" width="9.140625" style="87"/>
    <col min="6145" max="6145" width="5.28515625" style="87" customWidth="1"/>
    <col min="6146" max="6146" width="5.7109375" style="87" customWidth="1"/>
    <col min="6147" max="6147" width="30.5703125" style="87" customWidth="1"/>
    <col min="6148" max="6148" width="8.5703125" style="87" customWidth="1"/>
    <col min="6149" max="6149" width="8.140625" style="87" customWidth="1"/>
    <col min="6150" max="6150" width="8.7109375" style="87" customWidth="1"/>
    <col min="6151" max="6151" width="8.140625" style="87" customWidth="1"/>
    <col min="6152" max="6152" width="7.85546875" style="87" customWidth="1"/>
    <col min="6153" max="6400" width="9.140625" style="87"/>
    <col min="6401" max="6401" width="5.28515625" style="87" customWidth="1"/>
    <col min="6402" max="6402" width="5.7109375" style="87" customWidth="1"/>
    <col min="6403" max="6403" width="30.5703125" style="87" customWidth="1"/>
    <col min="6404" max="6404" width="8.5703125" style="87" customWidth="1"/>
    <col min="6405" max="6405" width="8.140625" style="87" customWidth="1"/>
    <col min="6406" max="6406" width="8.7109375" style="87" customWidth="1"/>
    <col min="6407" max="6407" width="8.140625" style="87" customWidth="1"/>
    <col min="6408" max="6408" width="7.85546875" style="87" customWidth="1"/>
    <col min="6409" max="6656" width="9.140625" style="87"/>
    <col min="6657" max="6657" width="5.28515625" style="87" customWidth="1"/>
    <col min="6658" max="6658" width="5.7109375" style="87" customWidth="1"/>
    <col min="6659" max="6659" width="30.5703125" style="87" customWidth="1"/>
    <col min="6660" max="6660" width="8.5703125" style="87" customWidth="1"/>
    <col min="6661" max="6661" width="8.140625" style="87" customWidth="1"/>
    <col min="6662" max="6662" width="8.7109375" style="87" customWidth="1"/>
    <col min="6663" max="6663" width="8.140625" style="87" customWidth="1"/>
    <col min="6664" max="6664" width="7.85546875" style="87" customWidth="1"/>
    <col min="6665" max="6912" width="9.140625" style="87"/>
    <col min="6913" max="6913" width="5.28515625" style="87" customWidth="1"/>
    <col min="6914" max="6914" width="5.7109375" style="87" customWidth="1"/>
    <col min="6915" max="6915" width="30.5703125" style="87" customWidth="1"/>
    <col min="6916" max="6916" width="8.5703125" style="87" customWidth="1"/>
    <col min="6917" max="6917" width="8.140625" style="87" customWidth="1"/>
    <col min="6918" max="6918" width="8.7109375" style="87" customWidth="1"/>
    <col min="6919" max="6919" width="8.140625" style="87" customWidth="1"/>
    <col min="6920" max="6920" width="7.85546875" style="87" customWidth="1"/>
    <col min="6921" max="7168" width="9.140625" style="87"/>
    <col min="7169" max="7169" width="5.28515625" style="87" customWidth="1"/>
    <col min="7170" max="7170" width="5.7109375" style="87" customWidth="1"/>
    <col min="7171" max="7171" width="30.5703125" style="87" customWidth="1"/>
    <col min="7172" max="7172" width="8.5703125" style="87" customWidth="1"/>
    <col min="7173" max="7173" width="8.140625" style="87" customWidth="1"/>
    <col min="7174" max="7174" width="8.7109375" style="87" customWidth="1"/>
    <col min="7175" max="7175" width="8.140625" style="87" customWidth="1"/>
    <col min="7176" max="7176" width="7.85546875" style="87" customWidth="1"/>
    <col min="7177" max="7424" width="9.140625" style="87"/>
    <col min="7425" max="7425" width="5.28515625" style="87" customWidth="1"/>
    <col min="7426" max="7426" width="5.7109375" style="87" customWidth="1"/>
    <col min="7427" max="7427" width="30.5703125" style="87" customWidth="1"/>
    <col min="7428" max="7428" width="8.5703125" style="87" customWidth="1"/>
    <col min="7429" max="7429" width="8.140625" style="87" customWidth="1"/>
    <col min="7430" max="7430" width="8.7109375" style="87" customWidth="1"/>
    <col min="7431" max="7431" width="8.140625" style="87" customWidth="1"/>
    <col min="7432" max="7432" width="7.85546875" style="87" customWidth="1"/>
    <col min="7433" max="7680" width="9.140625" style="87"/>
    <col min="7681" max="7681" width="5.28515625" style="87" customWidth="1"/>
    <col min="7682" max="7682" width="5.7109375" style="87" customWidth="1"/>
    <col min="7683" max="7683" width="30.5703125" style="87" customWidth="1"/>
    <col min="7684" max="7684" width="8.5703125" style="87" customWidth="1"/>
    <col min="7685" max="7685" width="8.140625" style="87" customWidth="1"/>
    <col min="7686" max="7686" width="8.7109375" style="87" customWidth="1"/>
    <col min="7687" max="7687" width="8.140625" style="87" customWidth="1"/>
    <col min="7688" max="7688" width="7.85546875" style="87" customWidth="1"/>
    <col min="7689" max="7936" width="9.140625" style="87"/>
    <col min="7937" max="7937" width="5.28515625" style="87" customWidth="1"/>
    <col min="7938" max="7938" width="5.7109375" style="87" customWidth="1"/>
    <col min="7939" max="7939" width="30.5703125" style="87" customWidth="1"/>
    <col min="7940" max="7940" width="8.5703125" style="87" customWidth="1"/>
    <col min="7941" max="7941" width="8.140625" style="87" customWidth="1"/>
    <col min="7942" max="7942" width="8.7109375" style="87" customWidth="1"/>
    <col min="7943" max="7943" width="8.140625" style="87" customWidth="1"/>
    <col min="7944" max="7944" width="7.85546875" style="87" customWidth="1"/>
    <col min="7945" max="8192" width="9.140625" style="87"/>
    <col min="8193" max="8193" width="5.28515625" style="87" customWidth="1"/>
    <col min="8194" max="8194" width="5.7109375" style="87" customWidth="1"/>
    <col min="8195" max="8195" width="30.5703125" style="87" customWidth="1"/>
    <col min="8196" max="8196" width="8.5703125" style="87" customWidth="1"/>
    <col min="8197" max="8197" width="8.140625" style="87" customWidth="1"/>
    <col min="8198" max="8198" width="8.7109375" style="87" customWidth="1"/>
    <col min="8199" max="8199" width="8.140625" style="87" customWidth="1"/>
    <col min="8200" max="8200" width="7.85546875" style="87" customWidth="1"/>
    <col min="8201" max="8448" width="9.140625" style="87"/>
    <col min="8449" max="8449" width="5.28515625" style="87" customWidth="1"/>
    <col min="8450" max="8450" width="5.7109375" style="87" customWidth="1"/>
    <col min="8451" max="8451" width="30.5703125" style="87" customWidth="1"/>
    <col min="8452" max="8452" width="8.5703125" style="87" customWidth="1"/>
    <col min="8453" max="8453" width="8.140625" style="87" customWidth="1"/>
    <col min="8454" max="8454" width="8.7109375" style="87" customWidth="1"/>
    <col min="8455" max="8455" width="8.140625" style="87" customWidth="1"/>
    <col min="8456" max="8456" width="7.85546875" style="87" customWidth="1"/>
    <col min="8457" max="8704" width="9.140625" style="87"/>
    <col min="8705" max="8705" width="5.28515625" style="87" customWidth="1"/>
    <col min="8706" max="8706" width="5.7109375" style="87" customWidth="1"/>
    <col min="8707" max="8707" width="30.5703125" style="87" customWidth="1"/>
    <col min="8708" max="8708" width="8.5703125" style="87" customWidth="1"/>
    <col min="8709" max="8709" width="8.140625" style="87" customWidth="1"/>
    <col min="8710" max="8710" width="8.7109375" style="87" customWidth="1"/>
    <col min="8711" max="8711" width="8.140625" style="87" customWidth="1"/>
    <col min="8712" max="8712" width="7.85546875" style="87" customWidth="1"/>
    <col min="8713" max="8960" width="9.140625" style="87"/>
    <col min="8961" max="8961" width="5.28515625" style="87" customWidth="1"/>
    <col min="8962" max="8962" width="5.7109375" style="87" customWidth="1"/>
    <col min="8963" max="8963" width="30.5703125" style="87" customWidth="1"/>
    <col min="8964" max="8964" width="8.5703125" style="87" customWidth="1"/>
    <col min="8965" max="8965" width="8.140625" style="87" customWidth="1"/>
    <col min="8966" max="8966" width="8.7109375" style="87" customWidth="1"/>
    <col min="8967" max="8967" width="8.140625" style="87" customWidth="1"/>
    <col min="8968" max="8968" width="7.85546875" style="87" customWidth="1"/>
    <col min="8969" max="9216" width="9.140625" style="87"/>
    <col min="9217" max="9217" width="5.28515625" style="87" customWidth="1"/>
    <col min="9218" max="9218" width="5.7109375" style="87" customWidth="1"/>
    <col min="9219" max="9219" width="30.5703125" style="87" customWidth="1"/>
    <col min="9220" max="9220" width="8.5703125" style="87" customWidth="1"/>
    <col min="9221" max="9221" width="8.140625" style="87" customWidth="1"/>
    <col min="9222" max="9222" width="8.7109375" style="87" customWidth="1"/>
    <col min="9223" max="9223" width="8.140625" style="87" customWidth="1"/>
    <col min="9224" max="9224" width="7.85546875" style="87" customWidth="1"/>
    <col min="9225" max="9472" width="9.140625" style="87"/>
    <col min="9473" max="9473" width="5.28515625" style="87" customWidth="1"/>
    <col min="9474" max="9474" width="5.7109375" style="87" customWidth="1"/>
    <col min="9475" max="9475" width="30.5703125" style="87" customWidth="1"/>
    <col min="9476" max="9476" width="8.5703125" style="87" customWidth="1"/>
    <col min="9477" max="9477" width="8.140625" style="87" customWidth="1"/>
    <col min="9478" max="9478" width="8.7109375" style="87" customWidth="1"/>
    <col min="9479" max="9479" width="8.140625" style="87" customWidth="1"/>
    <col min="9480" max="9480" width="7.85546875" style="87" customWidth="1"/>
    <col min="9481" max="9728" width="9.140625" style="87"/>
    <col min="9729" max="9729" width="5.28515625" style="87" customWidth="1"/>
    <col min="9730" max="9730" width="5.7109375" style="87" customWidth="1"/>
    <col min="9731" max="9731" width="30.5703125" style="87" customWidth="1"/>
    <col min="9732" max="9732" width="8.5703125" style="87" customWidth="1"/>
    <col min="9733" max="9733" width="8.140625" style="87" customWidth="1"/>
    <col min="9734" max="9734" width="8.7109375" style="87" customWidth="1"/>
    <col min="9735" max="9735" width="8.140625" style="87" customWidth="1"/>
    <col min="9736" max="9736" width="7.85546875" style="87" customWidth="1"/>
    <col min="9737" max="9984" width="9.140625" style="87"/>
    <col min="9985" max="9985" width="5.28515625" style="87" customWidth="1"/>
    <col min="9986" max="9986" width="5.7109375" style="87" customWidth="1"/>
    <col min="9987" max="9987" width="30.5703125" style="87" customWidth="1"/>
    <col min="9988" max="9988" width="8.5703125" style="87" customWidth="1"/>
    <col min="9989" max="9989" width="8.140625" style="87" customWidth="1"/>
    <col min="9990" max="9990" width="8.7109375" style="87" customWidth="1"/>
    <col min="9991" max="9991" width="8.140625" style="87" customWidth="1"/>
    <col min="9992" max="9992" width="7.85546875" style="87" customWidth="1"/>
    <col min="9993" max="10240" width="9.140625" style="87"/>
    <col min="10241" max="10241" width="5.28515625" style="87" customWidth="1"/>
    <col min="10242" max="10242" width="5.7109375" style="87" customWidth="1"/>
    <col min="10243" max="10243" width="30.5703125" style="87" customWidth="1"/>
    <col min="10244" max="10244" width="8.5703125" style="87" customWidth="1"/>
    <col min="10245" max="10245" width="8.140625" style="87" customWidth="1"/>
    <col min="10246" max="10246" width="8.7109375" style="87" customWidth="1"/>
    <col min="10247" max="10247" width="8.140625" style="87" customWidth="1"/>
    <col min="10248" max="10248" width="7.85546875" style="87" customWidth="1"/>
    <col min="10249" max="10496" width="9.140625" style="87"/>
    <col min="10497" max="10497" width="5.28515625" style="87" customWidth="1"/>
    <col min="10498" max="10498" width="5.7109375" style="87" customWidth="1"/>
    <col min="10499" max="10499" width="30.5703125" style="87" customWidth="1"/>
    <col min="10500" max="10500" width="8.5703125" style="87" customWidth="1"/>
    <col min="10501" max="10501" width="8.140625" style="87" customWidth="1"/>
    <col min="10502" max="10502" width="8.7109375" style="87" customWidth="1"/>
    <col min="10503" max="10503" width="8.140625" style="87" customWidth="1"/>
    <col min="10504" max="10504" width="7.85546875" style="87" customWidth="1"/>
    <col min="10505" max="10752" width="9.140625" style="87"/>
    <col min="10753" max="10753" width="5.28515625" style="87" customWidth="1"/>
    <col min="10754" max="10754" width="5.7109375" style="87" customWidth="1"/>
    <col min="10755" max="10755" width="30.5703125" style="87" customWidth="1"/>
    <col min="10756" max="10756" width="8.5703125" style="87" customWidth="1"/>
    <col min="10757" max="10757" width="8.140625" style="87" customWidth="1"/>
    <col min="10758" max="10758" width="8.7109375" style="87" customWidth="1"/>
    <col min="10759" max="10759" width="8.140625" style="87" customWidth="1"/>
    <col min="10760" max="10760" width="7.85546875" style="87" customWidth="1"/>
    <col min="10761" max="11008" width="9.140625" style="87"/>
    <col min="11009" max="11009" width="5.28515625" style="87" customWidth="1"/>
    <col min="11010" max="11010" width="5.7109375" style="87" customWidth="1"/>
    <col min="11011" max="11011" width="30.5703125" style="87" customWidth="1"/>
    <col min="11012" max="11012" width="8.5703125" style="87" customWidth="1"/>
    <col min="11013" max="11013" width="8.140625" style="87" customWidth="1"/>
    <col min="11014" max="11014" width="8.7109375" style="87" customWidth="1"/>
    <col min="11015" max="11015" width="8.140625" style="87" customWidth="1"/>
    <col min="11016" max="11016" width="7.85546875" style="87" customWidth="1"/>
    <col min="11017" max="11264" width="9.140625" style="87"/>
    <col min="11265" max="11265" width="5.28515625" style="87" customWidth="1"/>
    <col min="11266" max="11266" width="5.7109375" style="87" customWidth="1"/>
    <col min="11267" max="11267" width="30.5703125" style="87" customWidth="1"/>
    <col min="11268" max="11268" width="8.5703125" style="87" customWidth="1"/>
    <col min="11269" max="11269" width="8.140625" style="87" customWidth="1"/>
    <col min="11270" max="11270" width="8.7109375" style="87" customWidth="1"/>
    <col min="11271" max="11271" width="8.140625" style="87" customWidth="1"/>
    <col min="11272" max="11272" width="7.85546875" style="87" customWidth="1"/>
    <col min="11273" max="11520" width="9.140625" style="87"/>
    <col min="11521" max="11521" width="5.28515625" style="87" customWidth="1"/>
    <col min="11522" max="11522" width="5.7109375" style="87" customWidth="1"/>
    <col min="11523" max="11523" width="30.5703125" style="87" customWidth="1"/>
    <col min="11524" max="11524" width="8.5703125" style="87" customWidth="1"/>
    <col min="11525" max="11525" width="8.140625" style="87" customWidth="1"/>
    <col min="11526" max="11526" width="8.7109375" style="87" customWidth="1"/>
    <col min="11527" max="11527" width="8.140625" style="87" customWidth="1"/>
    <col min="11528" max="11528" width="7.85546875" style="87" customWidth="1"/>
    <col min="11529" max="11776" width="9.140625" style="87"/>
    <col min="11777" max="11777" width="5.28515625" style="87" customWidth="1"/>
    <col min="11778" max="11778" width="5.7109375" style="87" customWidth="1"/>
    <col min="11779" max="11779" width="30.5703125" style="87" customWidth="1"/>
    <col min="11780" max="11780" width="8.5703125" style="87" customWidth="1"/>
    <col min="11781" max="11781" width="8.140625" style="87" customWidth="1"/>
    <col min="11782" max="11782" width="8.7109375" style="87" customWidth="1"/>
    <col min="11783" max="11783" width="8.140625" style="87" customWidth="1"/>
    <col min="11784" max="11784" width="7.85546875" style="87" customWidth="1"/>
    <col min="11785" max="12032" width="9.140625" style="87"/>
    <col min="12033" max="12033" width="5.28515625" style="87" customWidth="1"/>
    <col min="12034" max="12034" width="5.7109375" style="87" customWidth="1"/>
    <col min="12035" max="12035" width="30.5703125" style="87" customWidth="1"/>
    <col min="12036" max="12036" width="8.5703125" style="87" customWidth="1"/>
    <col min="12037" max="12037" width="8.140625" style="87" customWidth="1"/>
    <col min="12038" max="12038" width="8.7109375" style="87" customWidth="1"/>
    <col min="12039" max="12039" width="8.140625" style="87" customWidth="1"/>
    <col min="12040" max="12040" width="7.85546875" style="87" customWidth="1"/>
    <col min="12041" max="12288" width="9.140625" style="87"/>
    <col min="12289" max="12289" width="5.28515625" style="87" customWidth="1"/>
    <col min="12290" max="12290" width="5.7109375" style="87" customWidth="1"/>
    <col min="12291" max="12291" width="30.5703125" style="87" customWidth="1"/>
    <col min="12292" max="12292" width="8.5703125" style="87" customWidth="1"/>
    <col min="12293" max="12293" width="8.140625" style="87" customWidth="1"/>
    <col min="12294" max="12294" width="8.7109375" style="87" customWidth="1"/>
    <col min="12295" max="12295" width="8.140625" style="87" customWidth="1"/>
    <col min="12296" max="12296" width="7.85546875" style="87" customWidth="1"/>
    <col min="12297" max="12544" width="9.140625" style="87"/>
    <col min="12545" max="12545" width="5.28515625" style="87" customWidth="1"/>
    <col min="12546" max="12546" width="5.7109375" style="87" customWidth="1"/>
    <col min="12547" max="12547" width="30.5703125" style="87" customWidth="1"/>
    <col min="12548" max="12548" width="8.5703125" style="87" customWidth="1"/>
    <col min="12549" max="12549" width="8.140625" style="87" customWidth="1"/>
    <col min="12550" max="12550" width="8.7109375" style="87" customWidth="1"/>
    <col min="12551" max="12551" width="8.140625" style="87" customWidth="1"/>
    <col min="12552" max="12552" width="7.85546875" style="87" customWidth="1"/>
    <col min="12553" max="12800" width="9.140625" style="87"/>
    <col min="12801" max="12801" width="5.28515625" style="87" customWidth="1"/>
    <col min="12802" max="12802" width="5.7109375" style="87" customWidth="1"/>
    <col min="12803" max="12803" width="30.5703125" style="87" customWidth="1"/>
    <col min="12804" max="12804" width="8.5703125" style="87" customWidth="1"/>
    <col min="12805" max="12805" width="8.140625" style="87" customWidth="1"/>
    <col min="12806" max="12806" width="8.7109375" style="87" customWidth="1"/>
    <col min="12807" max="12807" width="8.140625" style="87" customWidth="1"/>
    <col min="12808" max="12808" width="7.85546875" style="87" customWidth="1"/>
    <col min="12809" max="13056" width="9.140625" style="87"/>
    <col min="13057" max="13057" width="5.28515625" style="87" customWidth="1"/>
    <col min="13058" max="13058" width="5.7109375" style="87" customWidth="1"/>
    <col min="13059" max="13059" width="30.5703125" style="87" customWidth="1"/>
    <col min="13060" max="13060" width="8.5703125" style="87" customWidth="1"/>
    <col min="13061" max="13061" width="8.140625" style="87" customWidth="1"/>
    <col min="13062" max="13062" width="8.7109375" style="87" customWidth="1"/>
    <col min="13063" max="13063" width="8.140625" style="87" customWidth="1"/>
    <col min="13064" max="13064" width="7.85546875" style="87" customWidth="1"/>
    <col min="13065" max="13312" width="9.140625" style="87"/>
    <col min="13313" max="13313" width="5.28515625" style="87" customWidth="1"/>
    <col min="13314" max="13314" width="5.7109375" style="87" customWidth="1"/>
    <col min="13315" max="13315" width="30.5703125" style="87" customWidth="1"/>
    <col min="13316" max="13316" width="8.5703125" style="87" customWidth="1"/>
    <col min="13317" max="13317" width="8.140625" style="87" customWidth="1"/>
    <col min="13318" max="13318" width="8.7109375" style="87" customWidth="1"/>
    <col min="13319" max="13319" width="8.140625" style="87" customWidth="1"/>
    <col min="13320" max="13320" width="7.85546875" style="87" customWidth="1"/>
    <col min="13321" max="13568" width="9.140625" style="87"/>
    <col min="13569" max="13569" width="5.28515625" style="87" customWidth="1"/>
    <col min="13570" max="13570" width="5.7109375" style="87" customWidth="1"/>
    <col min="13571" max="13571" width="30.5703125" style="87" customWidth="1"/>
    <col min="13572" max="13572" width="8.5703125" style="87" customWidth="1"/>
    <col min="13573" max="13573" width="8.140625" style="87" customWidth="1"/>
    <col min="13574" max="13574" width="8.7109375" style="87" customWidth="1"/>
    <col min="13575" max="13575" width="8.140625" style="87" customWidth="1"/>
    <col min="13576" max="13576" width="7.85546875" style="87" customWidth="1"/>
    <col min="13577" max="13824" width="9.140625" style="87"/>
    <col min="13825" max="13825" width="5.28515625" style="87" customWidth="1"/>
    <col min="13826" max="13826" width="5.7109375" style="87" customWidth="1"/>
    <col min="13827" max="13827" width="30.5703125" style="87" customWidth="1"/>
    <col min="13828" max="13828" width="8.5703125" style="87" customWidth="1"/>
    <col min="13829" max="13829" width="8.140625" style="87" customWidth="1"/>
    <col min="13830" max="13830" width="8.7109375" style="87" customWidth="1"/>
    <col min="13831" max="13831" width="8.140625" style="87" customWidth="1"/>
    <col min="13832" max="13832" width="7.85546875" style="87" customWidth="1"/>
    <col min="13833" max="14080" width="9.140625" style="87"/>
    <col min="14081" max="14081" width="5.28515625" style="87" customWidth="1"/>
    <col min="14082" max="14082" width="5.7109375" style="87" customWidth="1"/>
    <col min="14083" max="14083" width="30.5703125" style="87" customWidth="1"/>
    <col min="14084" max="14084" width="8.5703125" style="87" customWidth="1"/>
    <col min="14085" max="14085" width="8.140625" style="87" customWidth="1"/>
    <col min="14086" max="14086" width="8.7109375" style="87" customWidth="1"/>
    <col min="14087" max="14087" width="8.140625" style="87" customWidth="1"/>
    <col min="14088" max="14088" width="7.85546875" style="87" customWidth="1"/>
    <col min="14089" max="14336" width="9.140625" style="87"/>
    <col min="14337" max="14337" width="5.28515625" style="87" customWidth="1"/>
    <col min="14338" max="14338" width="5.7109375" style="87" customWidth="1"/>
    <col min="14339" max="14339" width="30.5703125" style="87" customWidth="1"/>
    <col min="14340" max="14340" width="8.5703125" style="87" customWidth="1"/>
    <col min="14341" max="14341" width="8.140625" style="87" customWidth="1"/>
    <col min="14342" max="14342" width="8.7109375" style="87" customWidth="1"/>
    <col min="14343" max="14343" width="8.140625" style="87" customWidth="1"/>
    <col min="14344" max="14344" width="7.85546875" style="87" customWidth="1"/>
    <col min="14345" max="14592" width="9.140625" style="87"/>
    <col min="14593" max="14593" width="5.28515625" style="87" customWidth="1"/>
    <col min="14594" max="14594" width="5.7109375" style="87" customWidth="1"/>
    <col min="14595" max="14595" width="30.5703125" style="87" customWidth="1"/>
    <col min="14596" max="14596" width="8.5703125" style="87" customWidth="1"/>
    <col min="14597" max="14597" width="8.140625" style="87" customWidth="1"/>
    <col min="14598" max="14598" width="8.7109375" style="87" customWidth="1"/>
    <col min="14599" max="14599" width="8.140625" style="87" customWidth="1"/>
    <col min="14600" max="14600" width="7.85546875" style="87" customWidth="1"/>
    <col min="14601" max="14848" width="9.140625" style="87"/>
    <col min="14849" max="14849" width="5.28515625" style="87" customWidth="1"/>
    <col min="14850" max="14850" width="5.7109375" style="87" customWidth="1"/>
    <col min="14851" max="14851" width="30.5703125" style="87" customWidth="1"/>
    <col min="14852" max="14852" width="8.5703125" style="87" customWidth="1"/>
    <col min="14853" max="14853" width="8.140625" style="87" customWidth="1"/>
    <col min="14854" max="14854" width="8.7109375" style="87" customWidth="1"/>
    <col min="14855" max="14855" width="8.140625" style="87" customWidth="1"/>
    <col min="14856" max="14856" width="7.85546875" style="87" customWidth="1"/>
    <col min="14857" max="15104" width="9.140625" style="87"/>
    <col min="15105" max="15105" width="5.28515625" style="87" customWidth="1"/>
    <col min="15106" max="15106" width="5.7109375" style="87" customWidth="1"/>
    <col min="15107" max="15107" width="30.5703125" style="87" customWidth="1"/>
    <col min="15108" max="15108" width="8.5703125" style="87" customWidth="1"/>
    <col min="15109" max="15109" width="8.140625" style="87" customWidth="1"/>
    <col min="15110" max="15110" width="8.7109375" style="87" customWidth="1"/>
    <col min="15111" max="15111" width="8.140625" style="87" customWidth="1"/>
    <col min="15112" max="15112" width="7.85546875" style="87" customWidth="1"/>
    <col min="15113" max="15360" width="9.140625" style="87"/>
    <col min="15361" max="15361" width="5.28515625" style="87" customWidth="1"/>
    <col min="15362" max="15362" width="5.7109375" style="87" customWidth="1"/>
    <col min="15363" max="15363" width="30.5703125" style="87" customWidth="1"/>
    <col min="15364" max="15364" width="8.5703125" style="87" customWidth="1"/>
    <col min="15365" max="15365" width="8.140625" style="87" customWidth="1"/>
    <col min="15366" max="15366" width="8.7109375" style="87" customWidth="1"/>
    <col min="15367" max="15367" width="8.140625" style="87" customWidth="1"/>
    <col min="15368" max="15368" width="7.85546875" style="87" customWidth="1"/>
    <col min="15369" max="15616" width="9.140625" style="87"/>
    <col min="15617" max="15617" width="5.28515625" style="87" customWidth="1"/>
    <col min="15618" max="15618" width="5.7109375" style="87" customWidth="1"/>
    <col min="15619" max="15619" width="30.5703125" style="87" customWidth="1"/>
    <col min="15620" max="15620" width="8.5703125" style="87" customWidth="1"/>
    <col min="15621" max="15621" width="8.140625" style="87" customWidth="1"/>
    <col min="15622" max="15622" width="8.7109375" style="87" customWidth="1"/>
    <col min="15623" max="15623" width="8.140625" style="87" customWidth="1"/>
    <col min="15624" max="15624" width="7.85546875" style="87" customWidth="1"/>
    <col min="15625" max="15872" width="9.140625" style="87"/>
    <col min="15873" max="15873" width="5.28515625" style="87" customWidth="1"/>
    <col min="15874" max="15874" width="5.7109375" style="87" customWidth="1"/>
    <col min="15875" max="15875" width="30.5703125" style="87" customWidth="1"/>
    <col min="15876" max="15876" width="8.5703125" style="87" customWidth="1"/>
    <col min="15877" max="15877" width="8.140625" style="87" customWidth="1"/>
    <col min="15878" max="15878" width="8.7109375" style="87" customWidth="1"/>
    <col min="15879" max="15879" width="8.140625" style="87" customWidth="1"/>
    <col min="15880" max="15880" width="7.85546875" style="87" customWidth="1"/>
    <col min="15881" max="16128" width="9.140625" style="87"/>
    <col min="16129" max="16129" width="5.28515625" style="87" customWidth="1"/>
    <col min="16130" max="16130" width="5.7109375" style="87" customWidth="1"/>
    <col min="16131" max="16131" width="30.5703125" style="87" customWidth="1"/>
    <col min="16132" max="16132" width="8.5703125" style="87" customWidth="1"/>
    <col min="16133" max="16133" width="8.140625" style="87" customWidth="1"/>
    <col min="16134" max="16134" width="8.7109375" style="87" customWidth="1"/>
    <col min="16135" max="16135" width="8.140625" style="87" customWidth="1"/>
    <col min="16136" max="16136" width="7.85546875" style="87" customWidth="1"/>
    <col min="16137" max="16384" width="9.140625" style="87"/>
  </cols>
  <sheetData>
    <row r="1" spans="2:9" x14ac:dyDescent="0.2">
      <c r="E1" s="447" t="s">
        <v>219</v>
      </c>
      <c r="F1" s="447"/>
      <c r="G1" s="447"/>
      <c r="H1" s="447"/>
    </row>
    <row r="2" spans="2:9" x14ac:dyDescent="0.2">
      <c r="E2" s="447" t="s">
        <v>220</v>
      </c>
      <c r="F2" s="447"/>
      <c r="G2" s="447"/>
      <c r="H2" s="447"/>
    </row>
    <row r="3" spans="2:9" x14ac:dyDescent="0.2">
      <c r="E3" s="91" t="s">
        <v>140</v>
      </c>
      <c r="F3" s="91"/>
      <c r="G3" s="91"/>
      <c r="H3" s="91"/>
    </row>
    <row r="4" spans="2:9" x14ac:dyDescent="0.2">
      <c r="E4" s="447" t="s">
        <v>221</v>
      </c>
      <c r="F4" s="447"/>
      <c r="G4" s="447"/>
      <c r="H4" s="447"/>
    </row>
    <row r="5" spans="2:9" ht="9.75" customHeight="1" x14ac:dyDescent="0.2"/>
    <row r="6" spans="2:9" x14ac:dyDescent="0.2">
      <c r="B6" s="448" t="s">
        <v>222</v>
      </c>
      <c r="C6" s="448"/>
      <c r="D6" s="448"/>
      <c r="E6" s="448"/>
      <c r="F6" s="448"/>
      <c r="G6" s="448"/>
      <c r="H6" s="448"/>
    </row>
    <row r="7" spans="2:9" x14ac:dyDescent="0.2">
      <c r="B7" s="448" t="s">
        <v>223</v>
      </c>
      <c r="C7" s="448"/>
      <c r="D7" s="448"/>
      <c r="E7" s="448"/>
      <c r="F7" s="448"/>
      <c r="G7" s="448"/>
      <c r="H7" s="448"/>
    </row>
    <row r="8" spans="2:9" ht="8.25" customHeight="1" x14ac:dyDescent="0.2"/>
    <row r="9" spans="2:9" x14ac:dyDescent="0.2">
      <c r="F9" s="88" t="s">
        <v>224</v>
      </c>
    </row>
    <row r="10" spans="2:9" ht="8.25" customHeight="1" thickBot="1" x14ac:dyDescent="0.25"/>
    <row r="11" spans="2:9" x14ac:dyDescent="0.2">
      <c r="B11" s="449" t="s">
        <v>225</v>
      </c>
      <c r="C11" s="452" t="s">
        <v>226</v>
      </c>
      <c r="D11" s="455" t="s">
        <v>227</v>
      </c>
      <c r="E11" s="458" t="s">
        <v>228</v>
      </c>
      <c r="F11" s="459"/>
      <c r="G11" s="449" t="s">
        <v>229</v>
      </c>
      <c r="H11" s="462"/>
    </row>
    <row r="12" spans="2:9" x14ac:dyDescent="0.2">
      <c r="B12" s="450"/>
      <c r="C12" s="453"/>
      <c r="D12" s="456"/>
      <c r="E12" s="460"/>
      <c r="F12" s="461"/>
      <c r="G12" s="450"/>
      <c r="H12" s="463"/>
    </row>
    <row r="13" spans="2:9" ht="9" customHeight="1" x14ac:dyDescent="0.2">
      <c r="B13" s="450"/>
      <c r="C13" s="453"/>
      <c r="D13" s="456"/>
      <c r="E13" s="441" t="s">
        <v>230</v>
      </c>
      <c r="F13" s="443" t="s">
        <v>231</v>
      </c>
      <c r="G13" s="441" t="s">
        <v>230</v>
      </c>
      <c r="H13" s="445" t="s">
        <v>231</v>
      </c>
    </row>
    <row r="14" spans="2:9" ht="10.5" customHeight="1" thickBot="1" x14ac:dyDescent="0.25">
      <c r="B14" s="451"/>
      <c r="C14" s="454"/>
      <c r="D14" s="457"/>
      <c r="E14" s="442"/>
      <c r="F14" s="444"/>
      <c r="G14" s="442"/>
      <c r="H14" s="446"/>
    </row>
    <row r="15" spans="2:9" ht="13.5" thickBot="1" x14ac:dyDescent="0.25">
      <c r="B15" s="92">
        <v>1</v>
      </c>
      <c r="C15" s="93" t="s">
        <v>232</v>
      </c>
      <c r="D15" s="94">
        <v>705.7</v>
      </c>
      <c r="E15" s="95">
        <f>E17+E16+E22</f>
        <v>504.09999999999991</v>
      </c>
      <c r="F15" s="96">
        <f>F17+F16+F22</f>
        <v>438.3</v>
      </c>
      <c r="G15" s="96">
        <f>G17+G16+G22</f>
        <v>57.599999999999994</v>
      </c>
      <c r="H15" s="96">
        <f>H17+H16+H22</f>
        <v>60.7</v>
      </c>
      <c r="I15" s="97"/>
    </row>
    <row r="16" spans="2:9" ht="13.5" thickBot="1" x14ac:dyDescent="0.25">
      <c r="B16" s="98" t="s">
        <v>233</v>
      </c>
      <c r="C16" s="99" t="s">
        <v>234</v>
      </c>
      <c r="D16" s="100">
        <v>549.4</v>
      </c>
      <c r="E16" s="101">
        <f>E24+E32</f>
        <v>411.99999999999994</v>
      </c>
      <c r="F16" s="102">
        <f>F24+F32</f>
        <v>342.5</v>
      </c>
      <c r="G16" s="103">
        <f>G24+G32</f>
        <v>45.3</v>
      </c>
      <c r="H16" s="103">
        <f>H24+H32</f>
        <v>45.400000000000006</v>
      </c>
      <c r="I16" s="97"/>
    </row>
    <row r="17" spans="2:9" ht="14.25" thickTop="1" thickBot="1" x14ac:dyDescent="0.25">
      <c r="B17" s="104" t="s">
        <v>235</v>
      </c>
      <c r="C17" s="105" t="s">
        <v>236</v>
      </c>
      <c r="D17" s="106">
        <v>133.30000000000001</v>
      </c>
      <c r="E17" s="107">
        <f>E21+E20+E19+E18</f>
        <v>69.099999999999994</v>
      </c>
      <c r="F17" s="108">
        <f>F21+F20+F19+F18</f>
        <v>95.8</v>
      </c>
      <c r="G17" s="107">
        <f>G21+G20+G19+G18</f>
        <v>12.3</v>
      </c>
      <c r="H17" s="108">
        <f>H21+H20+H19+H18</f>
        <v>15.3</v>
      </c>
      <c r="I17" s="97"/>
    </row>
    <row r="18" spans="2:9" ht="13.5" thickTop="1" x14ac:dyDescent="0.2">
      <c r="B18" s="109" t="s">
        <v>237</v>
      </c>
      <c r="C18" s="110" t="s">
        <v>238</v>
      </c>
      <c r="D18" s="111">
        <v>0</v>
      </c>
      <c r="E18" s="112">
        <f>E34+E26</f>
        <v>0</v>
      </c>
      <c r="F18" s="113">
        <f>F34+F26</f>
        <v>10.8</v>
      </c>
      <c r="G18" s="112">
        <f>G34+G26</f>
        <v>0</v>
      </c>
      <c r="H18" s="113">
        <f>H34+H26</f>
        <v>3.2</v>
      </c>
      <c r="I18" s="97"/>
    </row>
    <row r="19" spans="2:9" x14ac:dyDescent="0.2">
      <c r="B19" s="114" t="s">
        <v>239</v>
      </c>
      <c r="C19" s="115" t="s">
        <v>240</v>
      </c>
      <c r="D19" s="116">
        <v>0</v>
      </c>
      <c r="E19" s="117">
        <f t="shared" ref="E19:H20" si="0">E27+E35</f>
        <v>0</v>
      </c>
      <c r="F19" s="118">
        <f t="shared" si="0"/>
        <v>0</v>
      </c>
      <c r="G19" s="117">
        <f>G27+G35</f>
        <v>0</v>
      </c>
      <c r="H19" s="118">
        <f t="shared" si="0"/>
        <v>0</v>
      </c>
      <c r="I19" s="97"/>
    </row>
    <row r="20" spans="2:9" x14ac:dyDescent="0.2">
      <c r="B20" s="114" t="s">
        <v>241</v>
      </c>
      <c r="C20" s="115" t="s">
        <v>242</v>
      </c>
      <c r="D20" s="116">
        <v>102.5</v>
      </c>
      <c r="E20" s="117">
        <f t="shared" si="0"/>
        <v>45.3</v>
      </c>
      <c r="F20" s="118">
        <f>F28+F36</f>
        <v>31.4</v>
      </c>
      <c r="G20" s="119">
        <f t="shared" si="0"/>
        <v>12.3</v>
      </c>
      <c r="H20" s="120">
        <f t="shared" si="0"/>
        <v>9.6999999999999993</v>
      </c>
      <c r="I20" s="97"/>
    </row>
    <row r="21" spans="2:9" ht="13.5" thickBot="1" x14ac:dyDescent="0.25">
      <c r="B21" s="121" t="s">
        <v>243</v>
      </c>
      <c r="C21" s="122" t="s">
        <v>244</v>
      </c>
      <c r="D21" s="123">
        <v>30.8</v>
      </c>
      <c r="E21" s="124">
        <f>E37+E29</f>
        <v>23.8</v>
      </c>
      <c r="F21" s="125">
        <f>F37+F29</f>
        <v>53.6</v>
      </c>
      <c r="G21" s="125">
        <f>G37+G29</f>
        <v>0</v>
      </c>
      <c r="H21" s="125">
        <f>H37+H29</f>
        <v>2.4</v>
      </c>
      <c r="I21" s="97"/>
    </row>
    <row r="22" spans="2:9" ht="14.25" thickTop="1" thickBot="1" x14ac:dyDescent="0.25">
      <c r="B22" s="126" t="s">
        <v>245</v>
      </c>
      <c r="C22" s="127" t="s">
        <v>246</v>
      </c>
      <c r="D22" s="128">
        <v>23</v>
      </c>
      <c r="E22" s="129">
        <f>E30+E38</f>
        <v>23</v>
      </c>
      <c r="F22" s="130">
        <f>F30+F38</f>
        <v>0</v>
      </c>
      <c r="G22" s="130">
        <f>G30+G38</f>
        <v>0</v>
      </c>
      <c r="H22" s="130">
        <f>H30+H38</f>
        <v>0</v>
      </c>
      <c r="I22" s="97"/>
    </row>
    <row r="23" spans="2:9" ht="13.5" thickBot="1" x14ac:dyDescent="0.25">
      <c r="B23" s="92">
        <v>2</v>
      </c>
      <c r="C23" s="131" t="s">
        <v>247</v>
      </c>
      <c r="D23" s="132">
        <v>401.8</v>
      </c>
      <c r="E23" s="133">
        <f>E25+E24+E30</f>
        <v>294.99999999999994</v>
      </c>
      <c r="F23" s="96">
        <f>F25+F24+F30</f>
        <v>269.60000000000002</v>
      </c>
      <c r="G23" s="133">
        <f>G25+G24+G30</f>
        <v>36.900000000000006</v>
      </c>
      <c r="H23" s="96">
        <f>H25+H24+H30</f>
        <v>34.400000000000006</v>
      </c>
      <c r="I23" s="97"/>
    </row>
    <row r="24" spans="2:9" ht="13.5" thickBot="1" x14ac:dyDescent="0.25">
      <c r="B24" s="98" t="s">
        <v>248</v>
      </c>
      <c r="C24" s="134" t="s">
        <v>234</v>
      </c>
      <c r="D24" s="135">
        <v>318.2</v>
      </c>
      <c r="E24" s="136">
        <f>28.8+28.8+48.2+23.7+23.7+23.7+17.6+24.6+24.6</f>
        <v>243.69999999999996</v>
      </c>
      <c r="F24" s="101">
        <f>10.7+13.4+11.6+19.8+23.4+34.1+32.1+24.6+24.6</f>
        <v>194.29999999999998</v>
      </c>
      <c r="G24" s="136">
        <v>24.6</v>
      </c>
      <c r="H24" s="102">
        <v>24.6</v>
      </c>
      <c r="I24" s="97"/>
    </row>
    <row r="25" spans="2:9" ht="14.25" thickTop="1" thickBot="1" x14ac:dyDescent="0.25">
      <c r="B25" s="104" t="s">
        <v>249</v>
      </c>
      <c r="C25" s="137" t="s">
        <v>236</v>
      </c>
      <c r="D25" s="106">
        <v>69.599999999999994</v>
      </c>
      <c r="E25" s="107">
        <f>SUM(E26:E29)</f>
        <v>37.299999999999997</v>
      </c>
      <c r="F25" s="108">
        <f>SUM(F26:F29)</f>
        <v>75.300000000000011</v>
      </c>
      <c r="G25" s="108">
        <f>SUM(G26:G29)</f>
        <v>12.3</v>
      </c>
      <c r="H25" s="108">
        <f>SUM(H26:H29)</f>
        <v>9.8000000000000007</v>
      </c>
      <c r="I25" s="97"/>
    </row>
    <row r="26" spans="2:9" ht="13.5" thickTop="1" x14ac:dyDescent="0.2">
      <c r="B26" s="109" t="s">
        <v>250</v>
      </c>
      <c r="C26" s="138" t="s">
        <v>238</v>
      </c>
      <c r="D26" s="139">
        <v>0</v>
      </c>
      <c r="E26" s="140">
        <f>0</f>
        <v>0</v>
      </c>
      <c r="F26" s="112">
        <f>0.2+0.3+0.3+0.3+0.3+0.3+2.8+3.1+3.2</f>
        <v>10.8</v>
      </c>
      <c r="G26" s="141">
        <v>0</v>
      </c>
      <c r="H26" s="113">
        <v>3.2</v>
      </c>
      <c r="I26" s="97"/>
    </row>
    <row r="27" spans="2:9" x14ac:dyDescent="0.2">
      <c r="B27" s="114" t="s">
        <v>251</v>
      </c>
      <c r="C27" s="142" t="s">
        <v>240</v>
      </c>
      <c r="D27" s="143">
        <v>0</v>
      </c>
      <c r="E27" s="144">
        <f>0</f>
        <v>0</v>
      </c>
      <c r="F27" s="117">
        <f>0</f>
        <v>0</v>
      </c>
      <c r="G27" s="144">
        <v>0</v>
      </c>
      <c r="H27" s="118">
        <v>0</v>
      </c>
      <c r="I27" s="97"/>
    </row>
    <row r="28" spans="2:9" x14ac:dyDescent="0.2">
      <c r="B28" s="114" t="s">
        <v>252</v>
      </c>
      <c r="C28" s="142" t="s">
        <v>242</v>
      </c>
      <c r="D28" s="143">
        <v>55.6</v>
      </c>
      <c r="E28" s="144">
        <f>4+14+12.3</f>
        <v>30.3</v>
      </c>
      <c r="F28" s="117">
        <f>6.7+4.2</f>
        <v>10.9</v>
      </c>
      <c r="G28" s="119">
        <v>12.3</v>
      </c>
      <c r="H28" s="118">
        <v>4.2</v>
      </c>
      <c r="I28" s="97"/>
    </row>
    <row r="29" spans="2:9" ht="13.5" thickBot="1" x14ac:dyDescent="0.25">
      <c r="B29" s="121" t="s">
        <v>253</v>
      </c>
      <c r="C29" s="145" t="s">
        <v>244</v>
      </c>
      <c r="D29" s="146">
        <v>14</v>
      </c>
      <c r="E29" s="147">
        <f>0+7</f>
        <v>7</v>
      </c>
      <c r="F29" s="124">
        <f>5.3+42.7+3.2+2.4</f>
        <v>53.6</v>
      </c>
      <c r="G29" s="148">
        <v>0</v>
      </c>
      <c r="H29" s="125">
        <v>2.4</v>
      </c>
      <c r="I29" s="97"/>
    </row>
    <row r="30" spans="2:9" ht="14.25" thickTop="1" thickBot="1" x14ac:dyDescent="0.25">
      <c r="B30" s="126" t="s">
        <v>254</v>
      </c>
      <c r="C30" s="149" t="s">
        <v>246</v>
      </c>
      <c r="D30" s="128">
        <v>14</v>
      </c>
      <c r="E30" s="150">
        <v>14</v>
      </c>
      <c r="F30" s="129">
        <v>0</v>
      </c>
      <c r="G30" s="151">
        <v>0</v>
      </c>
      <c r="H30" s="130">
        <v>0</v>
      </c>
      <c r="I30" s="97"/>
    </row>
    <row r="31" spans="2:9" ht="26.25" thickBot="1" x14ac:dyDescent="0.25">
      <c r="B31" s="92" t="s">
        <v>98</v>
      </c>
      <c r="C31" s="152" t="s">
        <v>255</v>
      </c>
      <c r="D31" s="94">
        <v>303.89999999999998</v>
      </c>
      <c r="E31" s="133">
        <f>E33+E32+E38</f>
        <v>209.1</v>
      </c>
      <c r="F31" s="96">
        <f>F33+F32+F38</f>
        <v>168.7</v>
      </c>
      <c r="G31" s="133">
        <f>G33+G32+G38</f>
        <v>20.7</v>
      </c>
      <c r="H31" s="96">
        <f>H33+H32+H38</f>
        <v>26.3</v>
      </c>
      <c r="I31" s="97"/>
    </row>
    <row r="32" spans="2:9" ht="13.5" thickBot="1" x14ac:dyDescent="0.25">
      <c r="B32" s="98" t="s">
        <v>256</v>
      </c>
      <c r="C32" s="99" t="s">
        <v>234</v>
      </c>
      <c r="D32" s="135">
        <v>231.2</v>
      </c>
      <c r="E32" s="153">
        <f>19.8+19.8+24.2+11.3+11.3+19.8+20.7+20.7+20.7</f>
        <v>168.29999999999998</v>
      </c>
      <c r="F32" s="102">
        <f>25.3+19.7+11.5+13.1+15.5+11.1+10.4+20.8+20.8</f>
        <v>148.19999999999999</v>
      </c>
      <c r="G32" s="154">
        <v>20.7</v>
      </c>
      <c r="H32" s="102">
        <v>20.8</v>
      </c>
      <c r="I32" s="97"/>
    </row>
    <row r="33" spans="2:9" ht="14.25" thickTop="1" thickBot="1" x14ac:dyDescent="0.25">
      <c r="B33" s="104" t="s">
        <v>257</v>
      </c>
      <c r="C33" s="105" t="s">
        <v>236</v>
      </c>
      <c r="D33" s="155">
        <v>63.7</v>
      </c>
      <c r="E33" s="156">
        <f>SUM(E34:E37)</f>
        <v>31.8</v>
      </c>
      <c r="F33" s="157">
        <f>SUM(F34:F37)</f>
        <v>20.5</v>
      </c>
      <c r="G33" s="158">
        <f>SUM(G34:G37)</f>
        <v>0</v>
      </c>
      <c r="H33" s="159">
        <f>SUM(H34:H37)</f>
        <v>5.5</v>
      </c>
      <c r="I33" s="97"/>
    </row>
    <row r="34" spans="2:9" ht="13.5" thickTop="1" x14ac:dyDescent="0.2">
      <c r="B34" s="109" t="s">
        <v>258</v>
      </c>
      <c r="C34" s="110" t="s">
        <v>238</v>
      </c>
      <c r="D34" s="139">
        <v>0</v>
      </c>
      <c r="E34" s="140">
        <f>0</f>
        <v>0</v>
      </c>
      <c r="F34" s="113">
        <f>0</f>
        <v>0</v>
      </c>
      <c r="G34" s="160">
        <v>0</v>
      </c>
      <c r="H34" s="113">
        <v>0</v>
      </c>
      <c r="I34" s="97"/>
    </row>
    <row r="35" spans="2:9" x14ac:dyDescent="0.2">
      <c r="B35" s="114" t="s">
        <v>259</v>
      </c>
      <c r="C35" s="115" t="s">
        <v>240</v>
      </c>
      <c r="D35" s="143">
        <v>0</v>
      </c>
      <c r="E35" s="144">
        <f>0</f>
        <v>0</v>
      </c>
      <c r="F35" s="118">
        <v>0</v>
      </c>
      <c r="G35" s="161">
        <v>0</v>
      </c>
      <c r="H35" s="118">
        <v>0</v>
      </c>
      <c r="I35" s="97"/>
    </row>
    <row r="36" spans="2:9" x14ac:dyDescent="0.2">
      <c r="B36" s="114" t="s">
        <v>260</v>
      </c>
      <c r="C36" s="115" t="s">
        <v>242</v>
      </c>
      <c r="D36" s="143">
        <v>46.9</v>
      </c>
      <c r="E36" s="144">
        <f>6+9</f>
        <v>15</v>
      </c>
      <c r="F36" s="118">
        <f>6.2+8.8+5.5</f>
        <v>20.5</v>
      </c>
      <c r="G36" s="161">
        <v>0</v>
      </c>
      <c r="H36" s="118">
        <v>5.5</v>
      </c>
      <c r="I36" s="97"/>
    </row>
    <row r="37" spans="2:9" ht="13.5" thickBot="1" x14ac:dyDescent="0.25">
      <c r="B37" s="121" t="s">
        <v>261</v>
      </c>
      <c r="C37" s="122" t="s">
        <v>244</v>
      </c>
      <c r="D37" s="146">
        <v>16.8</v>
      </c>
      <c r="E37" s="147">
        <f>4.4+4.4+8</f>
        <v>16.8</v>
      </c>
      <c r="F37" s="125">
        <v>0</v>
      </c>
      <c r="G37" s="162">
        <v>0</v>
      </c>
      <c r="H37" s="125">
        <v>0</v>
      </c>
      <c r="I37" s="97"/>
    </row>
    <row r="38" spans="2:9" ht="14.25" thickTop="1" thickBot="1" x14ac:dyDescent="0.25">
      <c r="B38" s="126" t="s">
        <v>262</v>
      </c>
      <c r="C38" s="127" t="s">
        <v>246</v>
      </c>
      <c r="D38" s="128">
        <v>9</v>
      </c>
      <c r="E38" s="150">
        <v>9</v>
      </c>
      <c r="F38" s="130">
        <v>0</v>
      </c>
      <c r="G38" s="163">
        <v>0</v>
      </c>
      <c r="H38" s="130">
        <v>0</v>
      </c>
      <c r="I38" s="97"/>
    </row>
    <row r="39" spans="2:9" ht="13.5" thickBot="1" x14ac:dyDescent="0.25">
      <c r="B39" s="164">
        <v>4</v>
      </c>
      <c r="C39" s="165" t="s">
        <v>263</v>
      </c>
      <c r="D39" s="166">
        <v>6.5</v>
      </c>
      <c r="E39" s="167">
        <v>6.5</v>
      </c>
      <c r="F39" s="168">
        <v>3.7</v>
      </c>
      <c r="G39" s="169">
        <v>6.5</v>
      </c>
      <c r="H39" s="168">
        <v>4</v>
      </c>
      <c r="I39" s="97"/>
    </row>
    <row r="40" spans="2:9" ht="12.75" customHeight="1" x14ac:dyDescent="0.2">
      <c r="B40" s="170" t="s">
        <v>264</v>
      </c>
      <c r="C40" s="171" t="s">
        <v>265</v>
      </c>
      <c r="D40" s="172">
        <v>4</v>
      </c>
      <c r="E40" s="173">
        <v>4</v>
      </c>
      <c r="F40" s="174">
        <v>1.8</v>
      </c>
      <c r="G40" s="175">
        <v>4</v>
      </c>
      <c r="H40" s="174">
        <v>2</v>
      </c>
      <c r="I40" s="97"/>
    </row>
    <row r="41" spans="2:9" ht="13.5" thickBot="1" x14ac:dyDescent="0.25">
      <c r="B41" s="176" t="s">
        <v>266</v>
      </c>
      <c r="C41" s="177" t="s">
        <v>267</v>
      </c>
      <c r="D41" s="178">
        <v>2.5</v>
      </c>
      <c r="E41" s="179">
        <v>2.5</v>
      </c>
      <c r="F41" s="180">
        <v>1.9</v>
      </c>
      <c r="G41" s="181">
        <v>2.5</v>
      </c>
      <c r="H41" s="180">
        <v>2</v>
      </c>
      <c r="I41" s="97"/>
    </row>
    <row r="42" spans="2:9" x14ac:dyDescent="0.2">
      <c r="B42" s="182"/>
      <c r="C42" s="183"/>
      <c r="D42" s="127"/>
      <c r="E42" s="127"/>
      <c r="F42" s="127"/>
      <c r="G42" s="127"/>
      <c r="H42" s="127"/>
    </row>
    <row r="43" spans="2:9" x14ac:dyDescent="0.2">
      <c r="B43" s="182"/>
      <c r="C43" s="183"/>
      <c r="D43" s="127"/>
      <c r="E43" s="127"/>
      <c r="F43" s="127"/>
      <c r="G43" s="127"/>
      <c r="H43" s="127"/>
    </row>
    <row r="44" spans="2:9" ht="8.25" customHeight="1" x14ac:dyDescent="0.2">
      <c r="B44" s="87"/>
      <c r="C44" s="87"/>
    </row>
    <row r="45" spans="2:9" ht="8.25" customHeight="1" x14ac:dyDescent="0.2">
      <c r="B45" s="87"/>
      <c r="C45" s="87"/>
    </row>
    <row r="46" spans="2:9" x14ac:dyDescent="0.2">
      <c r="C46" s="88" t="s">
        <v>215</v>
      </c>
      <c r="F46" s="88" t="s">
        <v>216</v>
      </c>
    </row>
    <row r="48" spans="2:9" x14ac:dyDescent="0.2">
      <c r="C48" s="87"/>
      <c r="D48" s="87"/>
      <c r="E48" s="87"/>
      <c r="F48" s="87"/>
    </row>
    <row r="49" spans="2:6" x14ac:dyDescent="0.2">
      <c r="C49" s="88" t="s">
        <v>217</v>
      </c>
      <c r="F49" s="88" t="s">
        <v>218</v>
      </c>
    </row>
    <row r="51" spans="2:6" s="88" customFormat="1" x14ac:dyDescent="0.2">
      <c r="B51" s="87"/>
      <c r="C51" s="87"/>
    </row>
  </sheetData>
  <mergeCells count="14">
    <mergeCell ref="E13:E14"/>
    <mergeCell ref="F13:F14"/>
    <mergeCell ref="G13:G14"/>
    <mergeCell ref="H13:H14"/>
    <mergeCell ref="E1:H1"/>
    <mergeCell ref="E2:H2"/>
    <mergeCell ref="E4:H4"/>
    <mergeCell ref="B6:H6"/>
    <mergeCell ref="B7:H7"/>
    <mergeCell ref="B11:B14"/>
    <mergeCell ref="C11:C14"/>
    <mergeCell ref="D11:D14"/>
    <mergeCell ref="E11:F12"/>
    <mergeCell ref="G11:H12"/>
  </mergeCells>
  <pageMargins left="0.62" right="0.21" top="0.4" bottom="0.39" header="0.34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selection activeCell="H15" sqref="H15"/>
    </sheetView>
  </sheetViews>
  <sheetFormatPr defaultRowHeight="12.75" x14ac:dyDescent="0.2"/>
  <cols>
    <col min="1" max="1" width="5.5703125" style="19" customWidth="1"/>
    <col min="2" max="2" width="29.85546875" style="19" customWidth="1"/>
    <col min="3" max="3" width="32" style="19" customWidth="1"/>
    <col min="4" max="4" width="20.42578125" style="19" customWidth="1"/>
    <col min="5" max="5" width="16.7109375" style="20" customWidth="1"/>
    <col min="6" max="16384" width="9.140625" style="21"/>
  </cols>
  <sheetData>
    <row r="1" spans="1:5" x14ac:dyDescent="0.2">
      <c r="A1" s="19" t="s">
        <v>137</v>
      </c>
      <c r="D1" s="19" t="s">
        <v>138</v>
      </c>
    </row>
    <row r="2" spans="1:5" x14ac:dyDescent="0.2">
      <c r="D2" s="19" t="s">
        <v>139</v>
      </c>
    </row>
    <row r="3" spans="1:5" x14ac:dyDescent="0.2">
      <c r="D3" s="19" t="s">
        <v>140</v>
      </c>
    </row>
    <row r="4" spans="1:5" x14ac:dyDescent="0.2">
      <c r="A4" s="19" t="s">
        <v>141</v>
      </c>
      <c r="D4" s="19" t="s">
        <v>142</v>
      </c>
    </row>
    <row r="6" spans="1:5" x14ac:dyDescent="0.2">
      <c r="A6" s="487" t="s">
        <v>143</v>
      </c>
      <c r="B6" s="487"/>
      <c r="C6" s="487"/>
      <c r="D6" s="487"/>
      <c r="E6" s="487"/>
    </row>
    <row r="7" spans="1:5" x14ac:dyDescent="0.2">
      <c r="A7" s="487" t="s">
        <v>144</v>
      </c>
      <c r="B7" s="487"/>
      <c r="C7" s="487"/>
      <c r="D7" s="487"/>
      <c r="E7" s="487"/>
    </row>
    <row r="8" spans="1:5" x14ac:dyDescent="0.2">
      <c r="A8" s="487" t="s">
        <v>145</v>
      </c>
      <c r="B8" s="487"/>
      <c r="C8" s="487"/>
      <c r="D8" s="487"/>
      <c r="E8" s="487"/>
    </row>
    <row r="9" spans="1:5" ht="13.5" thickBot="1" x14ac:dyDescent="0.25">
      <c r="A9" s="22"/>
      <c r="B9" s="22"/>
      <c r="C9" s="22"/>
      <c r="D9" s="22"/>
      <c r="E9" s="23" t="s">
        <v>146</v>
      </c>
    </row>
    <row r="10" spans="1:5" x14ac:dyDescent="0.2">
      <c r="A10" s="488" t="s">
        <v>147</v>
      </c>
      <c r="B10" s="490" t="s">
        <v>148</v>
      </c>
      <c r="C10" s="490" t="s">
        <v>149</v>
      </c>
      <c r="D10" s="490" t="s">
        <v>150</v>
      </c>
      <c r="E10" s="492"/>
    </row>
    <row r="11" spans="1:5" ht="13.5" thickBot="1" x14ac:dyDescent="0.25">
      <c r="A11" s="489"/>
      <c r="B11" s="491"/>
      <c r="C11" s="491"/>
      <c r="D11" s="24" t="s">
        <v>151</v>
      </c>
      <c r="E11" s="25" t="s">
        <v>152</v>
      </c>
    </row>
    <row r="12" spans="1:5" ht="14.25" thickBot="1" x14ac:dyDescent="0.3">
      <c r="A12" s="476" t="s">
        <v>153</v>
      </c>
      <c r="B12" s="477"/>
      <c r="C12" s="477"/>
      <c r="D12" s="477"/>
      <c r="E12" s="478"/>
    </row>
    <row r="13" spans="1:5" x14ac:dyDescent="0.2">
      <c r="A13" s="26">
        <v>1</v>
      </c>
      <c r="B13" s="27" t="s">
        <v>154</v>
      </c>
      <c r="C13" s="28" t="s">
        <v>155</v>
      </c>
      <c r="D13" s="29">
        <v>0.4</v>
      </c>
      <c r="E13" s="30">
        <v>0</v>
      </c>
    </row>
    <row r="14" spans="1:5" ht="13.5" thickBot="1" x14ac:dyDescent="0.25">
      <c r="A14" s="31">
        <f>A13+1</f>
        <v>2</v>
      </c>
      <c r="B14" s="32" t="s">
        <v>156</v>
      </c>
      <c r="C14" s="33" t="s">
        <v>155</v>
      </c>
      <c r="D14" s="34">
        <v>0.4</v>
      </c>
      <c r="E14" s="35">
        <v>0</v>
      </c>
    </row>
    <row r="15" spans="1:5" ht="25.5" x14ac:dyDescent="0.2">
      <c r="A15" s="26">
        <f>A14+1</f>
        <v>3</v>
      </c>
      <c r="B15" s="36" t="s">
        <v>157</v>
      </c>
      <c r="C15" s="37" t="s">
        <v>158</v>
      </c>
      <c r="D15" s="38">
        <v>4.0999999999999996</v>
      </c>
      <c r="E15" s="39">
        <v>0</v>
      </c>
    </row>
    <row r="16" spans="1:5" x14ac:dyDescent="0.2">
      <c r="A16" s="40">
        <f t="shared" ref="A16:A23" si="0">A15+1</f>
        <v>4</v>
      </c>
      <c r="B16" s="41" t="s">
        <v>159</v>
      </c>
      <c r="C16" s="42" t="s">
        <v>160</v>
      </c>
      <c r="D16" s="43">
        <v>6.9</v>
      </c>
      <c r="E16" s="44">
        <v>0</v>
      </c>
    </row>
    <row r="17" spans="1:5" x14ac:dyDescent="0.2">
      <c r="A17" s="45">
        <f t="shared" si="0"/>
        <v>5</v>
      </c>
      <c r="B17" s="46" t="s">
        <v>161</v>
      </c>
      <c r="C17" s="47" t="s">
        <v>162</v>
      </c>
      <c r="D17" s="48">
        <v>51.2</v>
      </c>
      <c r="E17" s="49">
        <v>51.2</v>
      </c>
    </row>
    <row r="18" spans="1:5" x14ac:dyDescent="0.2">
      <c r="A18" s="45">
        <f t="shared" si="0"/>
        <v>6</v>
      </c>
      <c r="B18" s="46" t="s">
        <v>163</v>
      </c>
      <c r="C18" s="47" t="s">
        <v>155</v>
      </c>
      <c r="D18" s="48">
        <v>11.3</v>
      </c>
      <c r="E18" s="49">
        <v>0</v>
      </c>
    </row>
    <row r="19" spans="1:5" x14ac:dyDescent="0.2">
      <c r="A19" s="45">
        <f t="shared" si="0"/>
        <v>7</v>
      </c>
      <c r="B19" s="46" t="s">
        <v>164</v>
      </c>
      <c r="C19" s="47" t="s">
        <v>155</v>
      </c>
      <c r="D19" s="48">
        <v>4.9000000000000004</v>
      </c>
      <c r="E19" s="49">
        <v>0</v>
      </c>
    </row>
    <row r="20" spans="1:5" x14ac:dyDescent="0.2">
      <c r="A20" s="45">
        <f t="shared" si="0"/>
        <v>8</v>
      </c>
      <c r="B20" s="46" t="s">
        <v>165</v>
      </c>
      <c r="C20" s="47" t="s">
        <v>166</v>
      </c>
      <c r="D20" s="50">
        <v>20.5</v>
      </c>
      <c r="E20" s="51">
        <v>0</v>
      </c>
    </row>
    <row r="21" spans="1:5" x14ac:dyDescent="0.2">
      <c r="A21" s="45">
        <f t="shared" si="0"/>
        <v>9</v>
      </c>
      <c r="B21" s="52" t="s">
        <v>167</v>
      </c>
      <c r="C21" s="47" t="s">
        <v>166</v>
      </c>
      <c r="D21" s="50">
        <v>12.5</v>
      </c>
      <c r="E21" s="51">
        <v>0</v>
      </c>
    </row>
    <row r="22" spans="1:5" x14ac:dyDescent="0.2">
      <c r="A22" s="45">
        <f t="shared" si="0"/>
        <v>10</v>
      </c>
      <c r="B22" s="52" t="s">
        <v>168</v>
      </c>
      <c r="C22" s="53" t="s">
        <v>169</v>
      </c>
      <c r="D22" s="50">
        <v>0.2</v>
      </c>
      <c r="E22" s="51">
        <v>0</v>
      </c>
    </row>
    <row r="23" spans="1:5" x14ac:dyDescent="0.2">
      <c r="A23" s="45">
        <f t="shared" si="0"/>
        <v>11</v>
      </c>
      <c r="B23" s="46" t="s">
        <v>170</v>
      </c>
      <c r="C23" s="47" t="s">
        <v>171</v>
      </c>
      <c r="D23" s="48">
        <v>0.2</v>
      </c>
      <c r="E23" s="49">
        <v>0</v>
      </c>
    </row>
    <row r="24" spans="1:5" x14ac:dyDescent="0.2">
      <c r="A24" s="45">
        <f>A23+1</f>
        <v>12</v>
      </c>
      <c r="B24" s="54" t="s">
        <v>172</v>
      </c>
      <c r="C24" s="47" t="s">
        <v>173</v>
      </c>
      <c r="D24" s="48">
        <v>0.1</v>
      </c>
      <c r="E24" s="49">
        <v>0</v>
      </c>
    </row>
    <row r="25" spans="1:5" x14ac:dyDescent="0.2">
      <c r="A25" s="45">
        <f t="shared" ref="A25:A28" si="1">A24+1</f>
        <v>13</v>
      </c>
      <c r="B25" s="54" t="s">
        <v>174</v>
      </c>
      <c r="C25" s="47" t="s">
        <v>175</v>
      </c>
      <c r="D25" s="48">
        <v>0.2</v>
      </c>
      <c r="E25" s="49">
        <v>0</v>
      </c>
    </row>
    <row r="26" spans="1:5" x14ac:dyDescent="0.2">
      <c r="A26" s="45">
        <f t="shared" si="1"/>
        <v>14</v>
      </c>
      <c r="B26" s="54" t="s">
        <v>176</v>
      </c>
      <c r="C26" s="47" t="s">
        <v>155</v>
      </c>
      <c r="D26" s="48">
        <v>0.4</v>
      </c>
      <c r="E26" s="49">
        <v>0</v>
      </c>
    </row>
    <row r="27" spans="1:5" x14ac:dyDescent="0.2">
      <c r="A27" s="45">
        <f t="shared" si="1"/>
        <v>15</v>
      </c>
      <c r="B27" s="55" t="s">
        <v>177</v>
      </c>
      <c r="C27" s="56" t="s">
        <v>178</v>
      </c>
      <c r="D27" s="57">
        <v>1</v>
      </c>
      <c r="E27" s="58">
        <v>0</v>
      </c>
    </row>
    <row r="28" spans="1:5" ht="13.5" thickBot="1" x14ac:dyDescent="0.25">
      <c r="A28" s="45">
        <f t="shared" si="1"/>
        <v>16</v>
      </c>
      <c r="B28" s="55" t="s">
        <v>179</v>
      </c>
      <c r="C28" s="56" t="s">
        <v>169</v>
      </c>
      <c r="D28" s="57">
        <v>0.2</v>
      </c>
      <c r="E28" s="58">
        <v>0</v>
      </c>
    </row>
    <row r="29" spans="1:5" ht="14.25" thickBot="1" x14ac:dyDescent="0.3">
      <c r="A29" s="473" t="s">
        <v>180</v>
      </c>
      <c r="B29" s="474"/>
      <c r="C29" s="475"/>
      <c r="D29" s="59">
        <f>SUM(D13:D28)</f>
        <v>114.50000000000001</v>
      </c>
      <c r="E29" s="59">
        <f>SUM(E13:E28)</f>
        <v>51.2</v>
      </c>
    </row>
    <row r="30" spans="1:5" ht="14.25" thickBot="1" x14ac:dyDescent="0.3">
      <c r="A30" s="479"/>
      <c r="B30" s="480"/>
      <c r="C30" s="480"/>
      <c r="D30" s="480"/>
      <c r="E30" s="481"/>
    </row>
    <row r="31" spans="1:5" ht="13.5" x14ac:dyDescent="0.25">
      <c r="A31" s="482" t="s">
        <v>181</v>
      </c>
      <c r="B31" s="483"/>
      <c r="C31" s="483"/>
      <c r="D31" s="483"/>
      <c r="E31" s="484"/>
    </row>
    <row r="32" spans="1:5" x14ac:dyDescent="0.2">
      <c r="A32" s="60">
        <v>1</v>
      </c>
      <c r="B32" s="46" t="s">
        <v>182</v>
      </c>
      <c r="C32" s="61" t="s">
        <v>175</v>
      </c>
      <c r="D32" s="62">
        <v>0.1</v>
      </c>
      <c r="E32" s="63">
        <v>0</v>
      </c>
    </row>
    <row r="33" spans="1:5" x14ac:dyDescent="0.2">
      <c r="A33" s="60">
        <f t="shared" ref="A33:A34" si="2">1+A32</f>
        <v>2</v>
      </c>
      <c r="B33" s="46" t="s">
        <v>183</v>
      </c>
      <c r="C33" s="61" t="s">
        <v>184</v>
      </c>
      <c r="D33" s="62">
        <v>0.4</v>
      </c>
      <c r="E33" s="63">
        <v>0</v>
      </c>
    </row>
    <row r="34" spans="1:5" x14ac:dyDescent="0.2">
      <c r="A34" s="60">
        <f t="shared" si="2"/>
        <v>3</v>
      </c>
      <c r="B34" s="52" t="s">
        <v>185</v>
      </c>
      <c r="C34" s="64" t="s">
        <v>186</v>
      </c>
      <c r="D34" s="65">
        <v>0.1</v>
      </c>
      <c r="E34" s="66">
        <v>0</v>
      </c>
    </row>
    <row r="35" spans="1:5" x14ac:dyDescent="0.2">
      <c r="A35" s="60">
        <f t="shared" ref="A35:A39" si="3">A34+1</f>
        <v>4</v>
      </c>
      <c r="B35" s="46" t="s">
        <v>187</v>
      </c>
      <c r="C35" s="61" t="s">
        <v>188</v>
      </c>
      <c r="D35" s="62">
        <v>1.5</v>
      </c>
      <c r="E35" s="63">
        <v>0</v>
      </c>
    </row>
    <row r="36" spans="1:5" x14ac:dyDescent="0.2">
      <c r="A36" s="60">
        <f t="shared" si="3"/>
        <v>5</v>
      </c>
      <c r="B36" s="46" t="s">
        <v>189</v>
      </c>
      <c r="C36" s="61" t="s">
        <v>175</v>
      </c>
      <c r="D36" s="62">
        <v>20</v>
      </c>
      <c r="E36" s="63">
        <v>0</v>
      </c>
    </row>
    <row r="37" spans="1:5" x14ac:dyDescent="0.2">
      <c r="A37" s="60">
        <f t="shared" si="3"/>
        <v>6</v>
      </c>
      <c r="B37" s="46" t="s">
        <v>190</v>
      </c>
      <c r="C37" s="61" t="s">
        <v>191</v>
      </c>
      <c r="D37" s="62">
        <v>0.2</v>
      </c>
      <c r="E37" s="63">
        <v>0</v>
      </c>
    </row>
    <row r="38" spans="1:5" x14ac:dyDescent="0.2">
      <c r="A38" s="60">
        <f t="shared" si="3"/>
        <v>7</v>
      </c>
      <c r="B38" s="67" t="s">
        <v>192</v>
      </c>
      <c r="C38" s="68" t="s">
        <v>193</v>
      </c>
      <c r="D38" s="69">
        <v>2</v>
      </c>
      <c r="E38" s="70">
        <v>0</v>
      </c>
    </row>
    <row r="39" spans="1:5" x14ac:dyDescent="0.2">
      <c r="A39" s="60">
        <f t="shared" si="3"/>
        <v>8</v>
      </c>
      <c r="B39" s="46" t="s">
        <v>194</v>
      </c>
      <c r="C39" s="61" t="s">
        <v>195</v>
      </c>
      <c r="D39" s="62">
        <v>0.3</v>
      </c>
      <c r="E39" s="63">
        <v>0</v>
      </c>
    </row>
    <row r="40" spans="1:5" ht="14.25" thickBot="1" x14ac:dyDescent="0.3">
      <c r="A40" s="476" t="s">
        <v>196</v>
      </c>
      <c r="B40" s="485"/>
      <c r="C40" s="486"/>
      <c r="D40" s="71">
        <f>SUM(D32:D39)</f>
        <v>24.6</v>
      </c>
      <c r="E40" s="72">
        <f>SUM(E32:E39)</f>
        <v>0</v>
      </c>
    </row>
    <row r="41" spans="1:5" ht="14.25" thickBot="1" x14ac:dyDescent="0.3">
      <c r="A41" s="479"/>
      <c r="B41" s="480"/>
      <c r="C41" s="480"/>
      <c r="D41" s="480"/>
      <c r="E41" s="481"/>
    </row>
    <row r="42" spans="1:5" ht="13.5" thickBot="1" x14ac:dyDescent="0.25">
      <c r="A42" s="464" t="s">
        <v>197</v>
      </c>
      <c r="B42" s="465"/>
      <c r="C42" s="465"/>
      <c r="D42" s="465"/>
      <c r="E42" s="466"/>
    </row>
    <row r="43" spans="1:5" x14ac:dyDescent="0.2">
      <c r="A43" s="26">
        <v>1</v>
      </c>
      <c r="B43" s="73" t="s">
        <v>198</v>
      </c>
      <c r="C43" s="74" t="s">
        <v>199</v>
      </c>
      <c r="D43" s="75">
        <v>29.3</v>
      </c>
      <c r="E43" s="39">
        <v>0</v>
      </c>
    </row>
    <row r="44" spans="1:5" x14ac:dyDescent="0.2">
      <c r="A44" s="60">
        <f>A43+1</f>
        <v>2</v>
      </c>
      <c r="B44" s="76" t="s">
        <v>200</v>
      </c>
      <c r="C44" s="77" t="s">
        <v>201</v>
      </c>
      <c r="D44" s="78">
        <v>6.1</v>
      </c>
      <c r="E44" s="49">
        <v>0</v>
      </c>
    </row>
    <row r="45" spans="1:5" ht="13.5" thickBot="1" x14ac:dyDescent="0.25">
      <c r="A45" s="79">
        <f>A44+1</f>
        <v>3</v>
      </c>
      <c r="B45" s="80" t="s">
        <v>202</v>
      </c>
      <c r="C45" s="81"/>
      <c r="D45" s="82">
        <v>217.5</v>
      </c>
      <c r="E45" s="83">
        <v>0</v>
      </c>
    </row>
    <row r="46" spans="1:5" ht="13.5" customHeight="1" thickBot="1" x14ac:dyDescent="0.25">
      <c r="A46" s="467" t="s">
        <v>203</v>
      </c>
      <c r="B46" s="468"/>
      <c r="C46" s="469"/>
      <c r="D46" s="59">
        <f>SUM(D43:D45)</f>
        <v>252.9</v>
      </c>
      <c r="E46" s="84">
        <f>SUM(E43:E45)</f>
        <v>0</v>
      </c>
    </row>
    <row r="47" spans="1:5" ht="13.5" customHeight="1" thickBot="1" x14ac:dyDescent="0.25">
      <c r="A47" s="470"/>
      <c r="B47" s="471"/>
      <c r="C47" s="471"/>
      <c r="D47" s="471"/>
      <c r="E47" s="472"/>
    </row>
    <row r="48" spans="1:5" ht="14.25" thickBot="1" x14ac:dyDescent="0.3">
      <c r="A48" s="473" t="s">
        <v>204</v>
      </c>
      <c r="B48" s="474"/>
      <c r="C48" s="475"/>
      <c r="D48" s="59">
        <f>SUM(D40+D46)</f>
        <v>277.5</v>
      </c>
      <c r="E48" s="84">
        <f>SUM(E40+E46)</f>
        <v>0</v>
      </c>
    </row>
    <row r="49" spans="1:8" ht="13.5" x14ac:dyDescent="0.25">
      <c r="A49" s="85"/>
      <c r="B49" s="85"/>
      <c r="C49" s="85"/>
      <c r="D49" s="86"/>
      <c r="E49" s="86"/>
    </row>
    <row r="50" spans="1:8" hidden="1" x14ac:dyDescent="0.2">
      <c r="A50" s="19">
        <v>1</v>
      </c>
      <c r="B50" s="19" t="s">
        <v>205</v>
      </c>
    </row>
    <row r="51" spans="1:8" hidden="1" x14ac:dyDescent="0.2">
      <c r="A51" s="19" t="s">
        <v>206</v>
      </c>
      <c r="B51" s="19" t="s">
        <v>207</v>
      </c>
    </row>
    <row r="52" spans="1:8" hidden="1" x14ac:dyDescent="0.2">
      <c r="A52" s="19" t="s">
        <v>206</v>
      </c>
      <c r="B52" s="19" t="s">
        <v>208</v>
      </c>
    </row>
    <row r="53" spans="1:8" hidden="1" x14ac:dyDescent="0.2">
      <c r="A53" s="19" t="s">
        <v>209</v>
      </c>
      <c r="B53" s="19" t="s">
        <v>210</v>
      </c>
    </row>
    <row r="54" spans="1:8" hidden="1" x14ac:dyDescent="0.2">
      <c r="A54" s="19" t="s">
        <v>206</v>
      </c>
      <c r="B54" s="19" t="s">
        <v>211</v>
      </c>
    </row>
    <row r="55" spans="1:8" hidden="1" x14ac:dyDescent="0.2">
      <c r="A55" s="19" t="s">
        <v>206</v>
      </c>
      <c r="B55" s="19" t="s">
        <v>212</v>
      </c>
    </row>
    <row r="56" spans="1:8" hidden="1" x14ac:dyDescent="0.2">
      <c r="A56" s="19" t="s">
        <v>206</v>
      </c>
      <c r="B56" s="19" t="s">
        <v>213</v>
      </c>
    </row>
    <row r="57" spans="1:8" hidden="1" x14ac:dyDescent="0.2">
      <c r="A57" s="19" t="s">
        <v>206</v>
      </c>
      <c r="B57" s="19" t="s">
        <v>214</v>
      </c>
    </row>
    <row r="60" spans="1:8" s="87" customFormat="1" x14ac:dyDescent="0.2">
      <c r="B60" s="88" t="s">
        <v>215</v>
      </c>
      <c r="C60" s="88"/>
      <c r="D60" s="88" t="s">
        <v>216</v>
      </c>
      <c r="G60" s="88"/>
      <c r="H60" s="88"/>
    </row>
    <row r="61" spans="1:8" s="87" customFormat="1" x14ac:dyDescent="0.2">
      <c r="B61" s="88"/>
      <c r="C61" s="88"/>
      <c r="D61" s="88"/>
      <c r="G61" s="88"/>
      <c r="H61" s="88"/>
    </row>
    <row r="62" spans="1:8" s="87" customFormat="1" x14ac:dyDescent="0.2">
      <c r="B62" s="88" t="s">
        <v>217</v>
      </c>
      <c r="C62" s="88"/>
      <c r="D62" s="88" t="s">
        <v>218</v>
      </c>
      <c r="G62" s="88"/>
      <c r="H62" s="88"/>
    </row>
    <row r="63" spans="1:8" x14ac:dyDescent="0.2">
      <c r="A63" s="22"/>
      <c r="B63" s="89"/>
      <c r="C63" s="90"/>
      <c r="D63" s="21"/>
      <c r="E63" s="23"/>
    </row>
  </sheetData>
  <mergeCells count="17">
    <mergeCell ref="A6:E6"/>
    <mergeCell ref="A7:E7"/>
    <mergeCell ref="A8:E8"/>
    <mergeCell ref="A10:A11"/>
    <mergeCell ref="B10:B11"/>
    <mergeCell ref="C10:C11"/>
    <mergeCell ref="D10:E10"/>
    <mergeCell ref="A42:E42"/>
    <mergeCell ref="A46:C46"/>
    <mergeCell ref="A47:E47"/>
    <mergeCell ref="A48:C48"/>
    <mergeCell ref="A12:E12"/>
    <mergeCell ref="A29:C29"/>
    <mergeCell ref="A30:E30"/>
    <mergeCell ref="A31:E31"/>
    <mergeCell ref="A40:C40"/>
    <mergeCell ref="A41:E41"/>
  </mergeCells>
  <pageMargins left="0.70866141732283472" right="0.19685039370078741" top="0.27559055118110237" bottom="0.27559055118110237" header="0.19685039370078741" footer="0.19685039370078741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A3" sqref="A3:B8"/>
    </sheetView>
  </sheetViews>
  <sheetFormatPr defaultRowHeight="15.75" x14ac:dyDescent="0.25"/>
  <cols>
    <col min="1" max="1" width="11.28515625" style="309" bestFit="1" customWidth="1"/>
    <col min="2" max="2" width="46.28515625" style="309" customWidth="1"/>
    <col min="3" max="3" width="9.140625" style="309"/>
    <col min="4" max="4" width="9.140625" style="300"/>
    <col min="5" max="5" width="13.5703125" style="309" customWidth="1"/>
    <col min="6" max="253" width="9.140625" style="305"/>
    <col min="254" max="254" width="11.28515625" style="305" bestFit="1" customWidth="1"/>
    <col min="255" max="255" width="46.28515625" style="305" customWidth="1"/>
    <col min="256" max="258" width="9.140625" style="305"/>
    <col min="259" max="259" width="9.42578125" style="305" customWidth="1"/>
    <col min="260" max="260" width="9.140625" style="305"/>
    <col min="261" max="261" width="13.5703125" style="305" customWidth="1"/>
    <col min="262" max="509" width="9.140625" style="305"/>
    <col min="510" max="510" width="11.28515625" style="305" bestFit="1" customWidth="1"/>
    <col min="511" max="511" width="46.28515625" style="305" customWidth="1"/>
    <col min="512" max="514" width="9.140625" style="305"/>
    <col min="515" max="515" width="9.42578125" style="305" customWidth="1"/>
    <col min="516" max="516" width="9.140625" style="305"/>
    <col min="517" max="517" width="13.5703125" style="305" customWidth="1"/>
    <col min="518" max="765" width="9.140625" style="305"/>
    <col min="766" max="766" width="11.28515625" style="305" bestFit="1" customWidth="1"/>
    <col min="767" max="767" width="46.28515625" style="305" customWidth="1"/>
    <col min="768" max="770" width="9.140625" style="305"/>
    <col min="771" max="771" width="9.42578125" style="305" customWidth="1"/>
    <col min="772" max="772" width="9.140625" style="305"/>
    <col min="773" max="773" width="13.5703125" style="305" customWidth="1"/>
    <col min="774" max="1021" width="9.140625" style="305"/>
    <col min="1022" max="1022" width="11.28515625" style="305" bestFit="1" customWidth="1"/>
    <col min="1023" max="1023" width="46.28515625" style="305" customWidth="1"/>
    <col min="1024" max="1026" width="9.140625" style="305"/>
    <col min="1027" max="1027" width="9.42578125" style="305" customWidth="1"/>
    <col min="1028" max="1028" width="9.140625" style="305"/>
    <col min="1029" max="1029" width="13.5703125" style="305" customWidth="1"/>
    <col min="1030" max="1277" width="9.140625" style="305"/>
    <col min="1278" max="1278" width="11.28515625" style="305" bestFit="1" customWidth="1"/>
    <col min="1279" max="1279" width="46.28515625" style="305" customWidth="1"/>
    <col min="1280" max="1282" width="9.140625" style="305"/>
    <col min="1283" max="1283" width="9.42578125" style="305" customWidth="1"/>
    <col min="1284" max="1284" width="9.140625" style="305"/>
    <col min="1285" max="1285" width="13.5703125" style="305" customWidth="1"/>
    <col min="1286" max="1533" width="9.140625" style="305"/>
    <col min="1534" max="1534" width="11.28515625" style="305" bestFit="1" customWidth="1"/>
    <col min="1535" max="1535" width="46.28515625" style="305" customWidth="1"/>
    <col min="1536" max="1538" width="9.140625" style="305"/>
    <col min="1539" max="1539" width="9.42578125" style="305" customWidth="1"/>
    <col min="1540" max="1540" width="9.140625" style="305"/>
    <col min="1541" max="1541" width="13.5703125" style="305" customWidth="1"/>
    <col min="1542" max="1789" width="9.140625" style="305"/>
    <col min="1790" max="1790" width="11.28515625" style="305" bestFit="1" customWidth="1"/>
    <col min="1791" max="1791" width="46.28515625" style="305" customWidth="1"/>
    <col min="1792" max="1794" width="9.140625" style="305"/>
    <col min="1795" max="1795" width="9.42578125" style="305" customWidth="1"/>
    <col min="1796" max="1796" width="9.140625" style="305"/>
    <col min="1797" max="1797" width="13.5703125" style="305" customWidth="1"/>
    <col min="1798" max="2045" width="9.140625" style="305"/>
    <col min="2046" max="2046" width="11.28515625" style="305" bestFit="1" customWidth="1"/>
    <col min="2047" max="2047" width="46.28515625" style="305" customWidth="1"/>
    <col min="2048" max="2050" width="9.140625" style="305"/>
    <col min="2051" max="2051" width="9.42578125" style="305" customWidth="1"/>
    <col min="2052" max="2052" width="9.140625" style="305"/>
    <col min="2053" max="2053" width="13.5703125" style="305" customWidth="1"/>
    <col min="2054" max="2301" width="9.140625" style="305"/>
    <col min="2302" max="2302" width="11.28515625" style="305" bestFit="1" customWidth="1"/>
    <col min="2303" max="2303" width="46.28515625" style="305" customWidth="1"/>
    <col min="2304" max="2306" width="9.140625" style="305"/>
    <col min="2307" max="2307" width="9.42578125" style="305" customWidth="1"/>
    <col min="2308" max="2308" width="9.140625" style="305"/>
    <col min="2309" max="2309" width="13.5703125" style="305" customWidth="1"/>
    <col min="2310" max="2557" width="9.140625" style="305"/>
    <col min="2558" max="2558" width="11.28515625" style="305" bestFit="1" customWidth="1"/>
    <col min="2559" max="2559" width="46.28515625" style="305" customWidth="1"/>
    <col min="2560" max="2562" width="9.140625" style="305"/>
    <col min="2563" max="2563" width="9.42578125" style="305" customWidth="1"/>
    <col min="2564" max="2564" width="9.140625" style="305"/>
    <col min="2565" max="2565" width="13.5703125" style="305" customWidth="1"/>
    <col min="2566" max="2813" width="9.140625" style="305"/>
    <col min="2814" max="2814" width="11.28515625" style="305" bestFit="1" customWidth="1"/>
    <col min="2815" max="2815" width="46.28515625" style="305" customWidth="1"/>
    <col min="2816" max="2818" width="9.140625" style="305"/>
    <col min="2819" max="2819" width="9.42578125" style="305" customWidth="1"/>
    <col min="2820" max="2820" width="9.140625" style="305"/>
    <col min="2821" max="2821" width="13.5703125" style="305" customWidth="1"/>
    <col min="2822" max="3069" width="9.140625" style="305"/>
    <col min="3070" max="3070" width="11.28515625" style="305" bestFit="1" customWidth="1"/>
    <col min="3071" max="3071" width="46.28515625" style="305" customWidth="1"/>
    <col min="3072" max="3074" width="9.140625" style="305"/>
    <col min="3075" max="3075" width="9.42578125" style="305" customWidth="1"/>
    <col min="3076" max="3076" width="9.140625" style="305"/>
    <col min="3077" max="3077" width="13.5703125" style="305" customWidth="1"/>
    <col min="3078" max="3325" width="9.140625" style="305"/>
    <col min="3326" max="3326" width="11.28515625" style="305" bestFit="1" customWidth="1"/>
    <col min="3327" max="3327" width="46.28515625" style="305" customWidth="1"/>
    <col min="3328" max="3330" width="9.140625" style="305"/>
    <col min="3331" max="3331" width="9.42578125" style="305" customWidth="1"/>
    <col min="3332" max="3332" width="9.140625" style="305"/>
    <col min="3333" max="3333" width="13.5703125" style="305" customWidth="1"/>
    <col min="3334" max="3581" width="9.140625" style="305"/>
    <col min="3582" max="3582" width="11.28515625" style="305" bestFit="1" customWidth="1"/>
    <col min="3583" max="3583" width="46.28515625" style="305" customWidth="1"/>
    <col min="3584" max="3586" width="9.140625" style="305"/>
    <col min="3587" max="3587" width="9.42578125" style="305" customWidth="1"/>
    <col min="3588" max="3588" width="9.140625" style="305"/>
    <col min="3589" max="3589" width="13.5703125" style="305" customWidth="1"/>
    <col min="3590" max="3837" width="9.140625" style="305"/>
    <col min="3838" max="3838" width="11.28515625" style="305" bestFit="1" customWidth="1"/>
    <col min="3839" max="3839" width="46.28515625" style="305" customWidth="1"/>
    <col min="3840" max="3842" width="9.140625" style="305"/>
    <col min="3843" max="3843" width="9.42578125" style="305" customWidth="1"/>
    <col min="3844" max="3844" width="9.140625" style="305"/>
    <col min="3845" max="3845" width="13.5703125" style="305" customWidth="1"/>
    <col min="3846" max="4093" width="9.140625" style="305"/>
    <col min="4094" max="4094" width="11.28515625" style="305" bestFit="1" customWidth="1"/>
    <col min="4095" max="4095" width="46.28515625" style="305" customWidth="1"/>
    <col min="4096" max="4098" width="9.140625" style="305"/>
    <col min="4099" max="4099" width="9.42578125" style="305" customWidth="1"/>
    <col min="4100" max="4100" width="9.140625" style="305"/>
    <col min="4101" max="4101" width="13.5703125" style="305" customWidth="1"/>
    <col min="4102" max="4349" width="9.140625" style="305"/>
    <col min="4350" max="4350" width="11.28515625" style="305" bestFit="1" customWidth="1"/>
    <col min="4351" max="4351" width="46.28515625" style="305" customWidth="1"/>
    <col min="4352" max="4354" width="9.140625" style="305"/>
    <col min="4355" max="4355" width="9.42578125" style="305" customWidth="1"/>
    <col min="4356" max="4356" width="9.140625" style="305"/>
    <col min="4357" max="4357" width="13.5703125" style="305" customWidth="1"/>
    <col min="4358" max="4605" width="9.140625" style="305"/>
    <col min="4606" max="4606" width="11.28515625" style="305" bestFit="1" customWidth="1"/>
    <col min="4607" max="4607" width="46.28515625" style="305" customWidth="1"/>
    <col min="4608" max="4610" width="9.140625" style="305"/>
    <col min="4611" max="4611" width="9.42578125" style="305" customWidth="1"/>
    <col min="4612" max="4612" width="9.140625" style="305"/>
    <col min="4613" max="4613" width="13.5703125" style="305" customWidth="1"/>
    <col min="4614" max="4861" width="9.140625" style="305"/>
    <col min="4862" max="4862" width="11.28515625" style="305" bestFit="1" customWidth="1"/>
    <col min="4863" max="4863" width="46.28515625" style="305" customWidth="1"/>
    <col min="4864" max="4866" width="9.140625" style="305"/>
    <col min="4867" max="4867" width="9.42578125" style="305" customWidth="1"/>
    <col min="4868" max="4868" width="9.140625" style="305"/>
    <col min="4869" max="4869" width="13.5703125" style="305" customWidth="1"/>
    <col min="4870" max="5117" width="9.140625" style="305"/>
    <col min="5118" max="5118" width="11.28515625" style="305" bestFit="1" customWidth="1"/>
    <col min="5119" max="5119" width="46.28515625" style="305" customWidth="1"/>
    <col min="5120" max="5122" width="9.140625" style="305"/>
    <col min="5123" max="5123" width="9.42578125" style="305" customWidth="1"/>
    <col min="5124" max="5124" width="9.140625" style="305"/>
    <col min="5125" max="5125" width="13.5703125" style="305" customWidth="1"/>
    <col min="5126" max="5373" width="9.140625" style="305"/>
    <col min="5374" max="5374" width="11.28515625" style="305" bestFit="1" customWidth="1"/>
    <col min="5375" max="5375" width="46.28515625" style="305" customWidth="1"/>
    <col min="5376" max="5378" width="9.140625" style="305"/>
    <col min="5379" max="5379" width="9.42578125" style="305" customWidth="1"/>
    <col min="5380" max="5380" width="9.140625" style="305"/>
    <col min="5381" max="5381" width="13.5703125" style="305" customWidth="1"/>
    <col min="5382" max="5629" width="9.140625" style="305"/>
    <col min="5630" max="5630" width="11.28515625" style="305" bestFit="1" customWidth="1"/>
    <col min="5631" max="5631" width="46.28515625" style="305" customWidth="1"/>
    <col min="5632" max="5634" width="9.140625" style="305"/>
    <col min="5635" max="5635" width="9.42578125" style="305" customWidth="1"/>
    <col min="5636" max="5636" width="9.140625" style="305"/>
    <col min="5637" max="5637" width="13.5703125" style="305" customWidth="1"/>
    <col min="5638" max="5885" width="9.140625" style="305"/>
    <col min="5886" max="5886" width="11.28515625" style="305" bestFit="1" customWidth="1"/>
    <col min="5887" max="5887" width="46.28515625" style="305" customWidth="1"/>
    <col min="5888" max="5890" width="9.140625" style="305"/>
    <col min="5891" max="5891" width="9.42578125" style="305" customWidth="1"/>
    <col min="5892" max="5892" width="9.140625" style="305"/>
    <col min="5893" max="5893" width="13.5703125" style="305" customWidth="1"/>
    <col min="5894" max="6141" width="9.140625" style="305"/>
    <col min="6142" max="6142" width="11.28515625" style="305" bestFit="1" customWidth="1"/>
    <col min="6143" max="6143" width="46.28515625" style="305" customWidth="1"/>
    <col min="6144" max="6146" width="9.140625" style="305"/>
    <col min="6147" max="6147" width="9.42578125" style="305" customWidth="1"/>
    <col min="6148" max="6148" width="9.140625" style="305"/>
    <col min="6149" max="6149" width="13.5703125" style="305" customWidth="1"/>
    <col min="6150" max="6397" width="9.140625" style="305"/>
    <col min="6398" max="6398" width="11.28515625" style="305" bestFit="1" customWidth="1"/>
    <col min="6399" max="6399" width="46.28515625" style="305" customWidth="1"/>
    <col min="6400" max="6402" width="9.140625" style="305"/>
    <col min="6403" max="6403" width="9.42578125" style="305" customWidth="1"/>
    <col min="6404" max="6404" width="9.140625" style="305"/>
    <col min="6405" max="6405" width="13.5703125" style="305" customWidth="1"/>
    <col min="6406" max="6653" width="9.140625" style="305"/>
    <col min="6654" max="6654" width="11.28515625" style="305" bestFit="1" customWidth="1"/>
    <col min="6655" max="6655" width="46.28515625" style="305" customWidth="1"/>
    <col min="6656" max="6658" width="9.140625" style="305"/>
    <col min="6659" max="6659" width="9.42578125" style="305" customWidth="1"/>
    <col min="6660" max="6660" width="9.140625" style="305"/>
    <col min="6661" max="6661" width="13.5703125" style="305" customWidth="1"/>
    <col min="6662" max="6909" width="9.140625" style="305"/>
    <col min="6910" max="6910" width="11.28515625" style="305" bestFit="1" customWidth="1"/>
    <col min="6911" max="6911" width="46.28515625" style="305" customWidth="1"/>
    <col min="6912" max="6914" width="9.140625" style="305"/>
    <col min="6915" max="6915" width="9.42578125" style="305" customWidth="1"/>
    <col min="6916" max="6916" width="9.140625" style="305"/>
    <col min="6917" max="6917" width="13.5703125" style="305" customWidth="1"/>
    <col min="6918" max="7165" width="9.140625" style="305"/>
    <col min="7166" max="7166" width="11.28515625" style="305" bestFit="1" customWidth="1"/>
    <col min="7167" max="7167" width="46.28515625" style="305" customWidth="1"/>
    <col min="7168" max="7170" width="9.140625" style="305"/>
    <col min="7171" max="7171" width="9.42578125" style="305" customWidth="1"/>
    <col min="7172" max="7172" width="9.140625" style="305"/>
    <col min="7173" max="7173" width="13.5703125" style="305" customWidth="1"/>
    <col min="7174" max="7421" width="9.140625" style="305"/>
    <col min="7422" max="7422" width="11.28515625" style="305" bestFit="1" customWidth="1"/>
    <col min="7423" max="7423" width="46.28515625" style="305" customWidth="1"/>
    <col min="7424" max="7426" width="9.140625" style="305"/>
    <col min="7427" max="7427" width="9.42578125" style="305" customWidth="1"/>
    <col min="7428" max="7428" width="9.140625" style="305"/>
    <col min="7429" max="7429" width="13.5703125" style="305" customWidth="1"/>
    <col min="7430" max="7677" width="9.140625" style="305"/>
    <col min="7678" max="7678" width="11.28515625" style="305" bestFit="1" customWidth="1"/>
    <col min="7679" max="7679" width="46.28515625" style="305" customWidth="1"/>
    <col min="7680" max="7682" width="9.140625" style="305"/>
    <col min="7683" max="7683" width="9.42578125" style="305" customWidth="1"/>
    <col min="7684" max="7684" width="9.140625" style="305"/>
    <col min="7685" max="7685" width="13.5703125" style="305" customWidth="1"/>
    <col min="7686" max="7933" width="9.140625" style="305"/>
    <col min="7934" max="7934" width="11.28515625" style="305" bestFit="1" customWidth="1"/>
    <col min="7935" max="7935" width="46.28515625" style="305" customWidth="1"/>
    <col min="7936" max="7938" width="9.140625" style="305"/>
    <col min="7939" max="7939" width="9.42578125" style="305" customWidth="1"/>
    <col min="7940" max="7940" width="9.140625" style="305"/>
    <col min="7941" max="7941" width="13.5703125" style="305" customWidth="1"/>
    <col min="7942" max="8189" width="9.140625" style="305"/>
    <col min="8190" max="8190" width="11.28515625" style="305" bestFit="1" customWidth="1"/>
    <col min="8191" max="8191" width="46.28515625" style="305" customWidth="1"/>
    <col min="8192" max="8194" width="9.140625" style="305"/>
    <col min="8195" max="8195" width="9.42578125" style="305" customWidth="1"/>
    <col min="8196" max="8196" width="9.140625" style="305"/>
    <col min="8197" max="8197" width="13.5703125" style="305" customWidth="1"/>
    <col min="8198" max="8445" width="9.140625" style="305"/>
    <col min="8446" max="8446" width="11.28515625" style="305" bestFit="1" customWidth="1"/>
    <col min="8447" max="8447" width="46.28515625" style="305" customWidth="1"/>
    <col min="8448" max="8450" width="9.140625" style="305"/>
    <col min="8451" max="8451" width="9.42578125" style="305" customWidth="1"/>
    <col min="8452" max="8452" width="9.140625" style="305"/>
    <col min="8453" max="8453" width="13.5703125" style="305" customWidth="1"/>
    <col min="8454" max="8701" width="9.140625" style="305"/>
    <col min="8702" max="8702" width="11.28515625" style="305" bestFit="1" customWidth="1"/>
    <col min="8703" max="8703" width="46.28515625" style="305" customWidth="1"/>
    <col min="8704" max="8706" width="9.140625" style="305"/>
    <col min="8707" max="8707" width="9.42578125" style="305" customWidth="1"/>
    <col min="8708" max="8708" width="9.140625" style="305"/>
    <col min="8709" max="8709" width="13.5703125" style="305" customWidth="1"/>
    <col min="8710" max="8957" width="9.140625" style="305"/>
    <col min="8958" max="8958" width="11.28515625" style="305" bestFit="1" customWidth="1"/>
    <col min="8959" max="8959" width="46.28515625" style="305" customWidth="1"/>
    <col min="8960" max="8962" width="9.140625" style="305"/>
    <col min="8963" max="8963" width="9.42578125" style="305" customWidth="1"/>
    <col min="8964" max="8964" width="9.140625" style="305"/>
    <col min="8965" max="8965" width="13.5703125" style="305" customWidth="1"/>
    <col min="8966" max="9213" width="9.140625" style="305"/>
    <col min="9214" max="9214" width="11.28515625" style="305" bestFit="1" customWidth="1"/>
    <col min="9215" max="9215" width="46.28515625" style="305" customWidth="1"/>
    <col min="9216" max="9218" width="9.140625" style="305"/>
    <col min="9219" max="9219" width="9.42578125" style="305" customWidth="1"/>
    <col min="9220" max="9220" width="9.140625" style="305"/>
    <col min="9221" max="9221" width="13.5703125" style="305" customWidth="1"/>
    <col min="9222" max="9469" width="9.140625" style="305"/>
    <col min="9470" max="9470" width="11.28515625" style="305" bestFit="1" customWidth="1"/>
    <col min="9471" max="9471" width="46.28515625" style="305" customWidth="1"/>
    <col min="9472" max="9474" width="9.140625" style="305"/>
    <col min="9475" max="9475" width="9.42578125" style="305" customWidth="1"/>
    <col min="9476" max="9476" width="9.140625" style="305"/>
    <col min="9477" max="9477" width="13.5703125" style="305" customWidth="1"/>
    <col min="9478" max="9725" width="9.140625" style="305"/>
    <col min="9726" max="9726" width="11.28515625" style="305" bestFit="1" customWidth="1"/>
    <col min="9727" max="9727" width="46.28515625" style="305" customWidth="1"/>
    <col min="9728" max="9730" width="9.140625" style="305"/>
    <col min="9731" max="9731" width="9.42578125" style="305" customWidth="1"/>
    <col min="9732" max="9732" width="9.140625" style="305"/>
    <col min="9733" max="9733" width="13.5703125" style="305" customWidth="1"/>
    <col min="9734" max="9981" width="9.140625" style="305"/>
    <col min="9982" max="9982" width="11.28515625" style="305" bestFit="1" customWidth="1"/>
    <col min="9983" max="9983" width="46.28515625" style="305" customWidth="1"/>
    <col min="9984" max="9986" width="9.140625" style="305"/>
    <col min="9987" max="9987" width="9.42578125" style="305" customWidth="1"/>
    <col min="9988" max="9988" width="9.140625" style="305"/>
    <col min="9989" max="9989" width="13.5703125" style="305" customWidth="1"/>
    <col min="9990" max="10237" width="9.140625" style="305"/>
    <col min="10238" max="10238" width="11.28515625" style="305" bestFit="1" customWidth="1"/>
    <col min="10239" max="10239" width="46.28515625" style="305" customWidth="1"/>
    <col min="10240" max="10242" width="9.140625" style="305"/>
    <col min="10243" max="10243" width="9.42578125" style="305" customWidth="1"/>
    <col min="10244" max="10244" width="9.140625" style="305"/>
    <col min="10245" max="10245" width="13.5703125" style="305" customWidth="1"/>
    <col min="10246" max="10493" width="9.140625" style="305"/>
    <col min="10494" max="10494" width="11.28515625" style="305" bestFit="1" customWidth="1"/>
    <col min="10495" max="10495" width="46.28515625" style="305" customWidth="1"/>
    <col min="10496" max="10498" width="9.140625" style="305"/>
    <col min="10499" max="10499" width="9.42578125" style="305" customWidth="1"/>
    <col min="10500" max="10500" width="9.140625" style="305"/>
    <col min="10501" max="10501" width="13.5703125" style="305" customWidth="1"/>
    <col min="10502" max="10749" width="9.140625" style="305"/>
    <col min="10750" max="10750" width="11.28515625" style="305" bestFit="1" customWidth="1"/>
    <col min="10751" max="10751" width="46.28515625" style="305" customWidth="1"/>
    <col min="10752" max="10754" width="9.140625" style="305"/>
    <col min="10755" max="10755" width="9.42578125" style="305" customWidth="1"/>
    <col min="10756" max="10756" width="9.140625" style="305"/>
    <col min="10757" max="10757" width="13.5703125" style="305" customWidth="1"/>
    <col min="10758" max="11005" width="9.140625" style="305"/>
    <col min="11006" max="11006" width="11.28515625" style="305" bestFit="1" customWidth="1"/>
    <col min="11007" max="11007" width="46.28515625" style="305" customWidth="1"/>
    <col min="11008" max="11010" width="9.140625" style="305"/>
    <col min="11011" max="11011" width="9.42578125" style="305" customWidth="1"/>
    <col min="11012" max="11012" width="9.140625" style="305"/>
    <col min="11013" max="11013" width="13.5703125" style="305" customWidth="1"/>
    <col min="11014" max="11261" width="9.140625" style="305"/>
    <col min="11262" max="11262" width="11.28515625" style="305" bestFit="1" customWidth="1"/>
    <col min="11263" max="11263" width="46.28515625" style="305" customWidth="1"/>
    <col min="11264" max="11266" width="9.140625" style="305"/>
    <col min="11267" max="11267" width="9.42578125" style="305" customWidth="1"/>
    <col min="11268" max="11268" width="9.140625" style="305"/>
    <col min="11269" max="11269" width="13.5703125" style="305" customWidth="1"/>
    <col min="11270" max="11517" width="9.140625" style="305"/>
    <col min="11518" max="11518" width="11.28515625" style="305" bestFit="1" customWidth="1"/>
    <col min="11519" max="11519" width="46.28515625" style="305" customWidth="1"/>
    <col min="11520" max="11522" width="9.140625" style="305"/>
    <col min="11523" max="11523" width="9.42578125" style="305" customWidth="1"/>
    <col min="11524" max="11524" width="9.140625" style="305"/>
    <col min="11525" max="11525" width="13.5703125" style="305" customWidth="1"/>
    <col min="11526" max="11773" width="9.140625" style="305"/>
    <col min="11774" max="11774" width="11.28515625" style="305" bestFit="1" customWidth="1"/>
    <col min="11775" max="11775" width="46.28515625" style="305" customWidth="1"/>
    <col min="11776" max="11778" width="9.140625" style="305"/>
    <col min="11779" max="11779" width="9.42578125" style="305" customWidth="1"/>
    <col min="11780" max="11780" width="9.140625" style="305"/>
    <col min="11781" max="11781" width="13.5703125" style="305" customWidth="1"/>
    <col min="11782" max="12029" width="9.140625" style="305"/>
    <col min="12030" max="12030" width="11.28515625" style="305" bestFit="1" customWidth="1"/>
    <col min="12031" max="12031" width="46.28515625" style="305" customWidth="1"/>
    <col min="12032" max="12034" width="9.140625" style="305"/>
    <col min="12035" max="12035" width="9.42578125" style="305" customWidth="1"/>
    <col min="12036" max="12036" width="9.140625" style="305"/>
    <col min="12037" max="12037" width="13.5703125" style="305" customWidth="1"/>
    <col min="12038" max="12285" width="9.140625" style="305"/>
    <col min="12286" max="12286" width="11.28515625" style="305" bestFit="1" customWidth="1"/>
    <col min="12287" max="12287" width="46.28515625" style="305" customWidth="1"/>
    <col min="12288" max="12290" width="9.140625" style="305"/>
    <col min="12291" max="12291" width="9.42578125" style="305" customWidth="1"/>
    <col min="12292" max="12292" width="9.140625" style="305"/>
    <col min="12293" max="12293" width="13.5703125" style="305" customWidth="1"/>
    <col min="12294" max="12541" width="9.140625" style="305"/>
    <col min="12542" max="12542" width="11.28515625" style="305" bestFit="1" customWidth="1"/>
    <col min="12543" max="12543" width="46.28515625" style="305" customWidth="1"/>
    <col min="12544" max="12546" width="9.140625" style="305"/>
    <col min="12547" max="12547" width="9.42578125" style="305" customWidth="1"/>
    <col min="12548" max="12548" width="9.140625" style="305"/>
    <col min="12549" max="12549" width="13.5703125" style="305" customWidth="1"/>
    <col min="12550" max="12797" width="9.140625" style="305"/>
    <col min="12798" max="12798" width="11.28515625" style="305" bestFit="1" customWidth="1"/>
    <col min="12799" max="12799" width="46.28515625" style="305" customWidth="1"/>
    <col min="12800" max="12802" width="9.140625" style="305"/>
    <col min="12803" max="12803" width="9.42578125" style="305" customWidth="1"/>
    <col min="12804" max="12804" width="9.140625" style="305"/>
    <col min="12805" max="12805" width="13.5703125" style="305" customWidth="1"/>
    <col min="12806" max="13053" width="9.140625" style="305"/>
    <col min="13054" max="13054" width="11.28515625" style="305" bestFit="1" customWidth="1"/>
    <col min="13055" max="13055" width="46.28515625" style="305" customWidth="1"/>
    <col min="13056" max="13058" width="9.140625" style="305"/>
    <col min="13059" max="13059" width="9.42578125" style="305" customWidth="1"/>
    <col min="13060" max="13060" width="9.140625" style="305"/>
    <col min="13061" max="13061" width="13.5703125" style="305" customWidth="1"/>
    <col min="13062" max="13309" width="9.140625" style="305"/>
    <col min="13310" max="13310" width="11.28515625" style="305" bestFit="1" customWidth="1"/>
    <col min="13311" max="13311" width="46.28515625" style="305" customWidth="1"/>
    <col min="13312" max="13314" width="9.140625" style="305"/>
    <col min="13315" max="13315" width="9.42578125" style="305" customWidth="1"/>
    <col min="13316" max="13316" width="9.140625" style="305"/>
    <col min="13317" max="13317" width="13.5703125" style="305" customWidth="1"/>
    <col min="13318" max="13565" width="9.140625" style="305"/>
    <col min="13566" max="13566" width="11.28515625" style="305" bestFit="1" customWidth="1"/>
    <col min="13567" max="13567" width="46.28515625" style="305" customWidth="1"/>
    <col min="13568" max="13570" width="9.140625" style="305"/>
    <col min="13571" max="13571" width="9.42578125" style="305" customWidth="1"/>
    <col min="13572" max="13572" width="9.140625" style="305"/>
    <col min="13573" max="13573" width="13.5703125" style="305" customWidth="1"/>
    <col min="13574" max="13821" width="9.140625" style="305"/>
    <col min="13822" max="13822" width="11.28515625" style="305" bestFit="1" customWidth="1"/>
    <col min="13823" max="13823" width="46.28515625" style="305" customWidth="1"/>
    <col min="13824" max="13826" width="9.140625" style="305"/>
    <col min="13827" max="13827" width="9.42578125" style="305" customWidth="1"/>
    <col min="13828" max="13828" width="9.140625" style="305"/>
    <col min="13829" max="13829" width="13.5703125" style="305" customWidth="1"/>
    <col min="13830" max="14077" width="9.140625" style="305"/>
    <col min="14078" max="14078" width="11.28515625" style="305" bestFit="1" customWidth="1"/>
    <col min="14079" max="14079" width="46.28515625" style="305" customWidth="1"/>
    <col min="14080" max="14082" width="9.140625" style="305"/>
    <col min="14083" max="14083" width="9.42578125" style="305" customWidth="1"/>
    <col min="14084" max="14084" width="9.140625" style="305"/>
    <col min="14085" max="14085" width="13.5703125" style="305" customWidth="1"/>
    <col min="14086" max="14333" width="9.140625" style="305"/>
    <col min="14334" max="14334" width="11.28515625" style="305" bestFit="1" customWidth="1"/>
    <col min="14335" max="14335" width="46.28515625" style="305" customWidth="1"/>
    <col min="14336" max="14338" width="9.140625" style="305"/>
    <col min="14339" max="14339" width="9.42578125" style="305" customWidth="1"/>
    <col min="14340" max="14340" width="9.140625" style="305"/>
    <col min="14341" max="14341" width="13.5703125" style="305" customWidth="1"/>
    <col min="14342" max="14589" width="9.140625" style="305"/>
    <col min="14590" max="14590" width="11.28515625" style="305" bestFit="1" customWidth="1"/>
    <col min="14591" max="14591" width="46.28515625" style="305" customWidth="1"/>
    <col min="14592" max="14594" width="9.140625" style="305"/>
    <col min="14595" max="14595" width="9.42578125" style="305" customWidth="1"/>
    <col min="14596" max="14596" width="9.140625" style="305"/>
    <col min="14597" max="14597" width="13.5703125" style="305" customWidth="1"/>
    <col min="14598" max="14845" width="9.140625" style="305"/>
    <col min="14846" max="14846" width="11.28515625" style="305" bestFit="1" customWidth="1"/>
    <col min="14847" max="14847" width="46.28515625" style="305" customWidth="1"/>
    <col min="14848" max="14850" width="9.140625" style="305"/>
    <col min="14851" max="14851" width="9.42578125" style="305" customWidth="1"/>
    <col min="14852" max="14852" width="9.140625" style="305"/>
    <col min="14853" max="14853" width="13.5703125" style="305" customWidth="1"/>
    <col min="14854" max="15101" width="9.140625" style="305"/>
    <col min="15102" max="15102" width="11.28515625" style="305" bestFit="1" customWidth="1"/>
    <col min="15103" max="15103" width="46.28515625" style="305" customWidth="1"/>
    <col min="15104" max="15106" width="9.140625" style="305"/>
    <col min="15107" max="15107" width="9.42578125" style="305" customWidth="1"/>
    <col min="15108" max="15108" width="9.140625" style="305"/>
    <col min="15109" max="15109" width="13.5703125" style="305" customWidth="1"/>
    <col min="15110" max="15357" width="9.140625" style="305"/>
    <col min="15358" max="15358" width="11.28515625" style="305" bestFit="1" customWidth="1"/>
    <col min="15359" max="15359" width="46.28515625" style="305" customWidth="1"/>
    <col min="15360" max="15362" width="9.140625" style="305"/>
    <col min="15363" max="15363" width="9.42578125" style="305" customWidth="1"/>
    <col min="15364" max="15364" width="9.140625" style="305"/>
    <col min="15365" max="15365" width="13.5703125" style="305" customWidth="1"/>
    <col min="15366" max="15613" width="9.140625" style="305"/>
    <col min="15614" max="15614" width="11.28515625" style="305" bestFit="1" customWidth="1"/>
    <col min="15615" max="15615" width="46.28515625" style="305" customWidth="1"/>
    <col min="15616" max="15618" width="9.140625" style="305"/>
    <col min="15619" max="15619" width="9.42578125" style="305" customWidth="1"/>
    <col min="15620" max="15620" width="9.140625" style="305"/>
    <col min="15621" max="15621" width="13.5703125" style="305" customWidth="1"/>
    <col min="15622" max="15869" width="9.140625" style="305"/>
    <col min="15870" max="15870" width="11.28515625" style="305" bestFit="1" customWidth="1"/>
    <col min="15871" max="15871" width="46.28515625" style="305" customWidth="1"/>
    <col min="15872" max="15874" width="9.140625" style="305"/>
    <col min="15875" max="15875" width="9.42578125" style="305" customWidth="1"/>
    <col min="15876" max="15876" width="9.140625" style="305"/>
    <col min="15877" max="15877" width="13.5703125" style="305" customWidth="1"/>
    <col min="15878" max="16125" width="9.140625" style="305"/>
    <col min="16126" max="16126" width="11.28515625" style="305" bestFit="1" customWidth="1"/>
    <col min="16127" max="16127" width="46.28515625" style="305" customWidth="1"/>
    <col min="16128" max="16130" width="9.140625" style="305"/>
    <col min="16131" max="16131" width="9.42578125" style="305" customWidth="1"/>
    <col min="16132" max="16132" width="9.140625" style="305"/>
    <col min="16133" max="16133" width="13.5703125" style="305" customWidth="1"/>
    <col min="16134" max="16384" width="9.140625" style="305"/>
  </cols>
  <sheetData>
    <row r="1" spans="1:5" s="309" customFormat="1" ht="18.75" x14ac:dyDescent="0.3">
      <c r="A1" s="509" t="s">
        <v>349</v>
      </c>
      <c r="B1" s="509"/>
      <c r="C1" s="509"/>
      <c r="D1" s="509"/>
      <c r="E1" s="310"/>
    </row>
    <row r="2" spans="1:5" s="309" customFormat="1" ht="16.5" thickBot="1" x14ac:dyDescent="0.3">
      <c r="B2" s="311"/>
      <c r="C2" s="311"/>
      <c r="D2" s="311"/>
    </row>
    <row r="3" spans="1:5" ht="12.75" hidden="1" customHeight="1" x14ac:dyDescent="0.25">
      <c r="A3" s="503" t="s">
        <v>225</v>
      </c>
      <c r="B3" s="510" t="s">
        <v>226</v>
      </c>
      <c r="C3" s="505"/>
      <c r="D3" s="506"/>
      <c r="E3" s="305"/>
    </row>
    <row r="4" spans="1:5" ht="13.5" hidden="1" customHeight="1" thickBot="1" x14ac:dyDescent="0.25">
      <c r="A4" s="504"/>
      <c r="B4" s="511"/>
      <c r="C4" s="507"/>
      <c r="D4" s="508"/>
      <c r="E4" s="305"/>
    </row>
    <row r="5" spans="1:5" ht="54.75" customHeight="1" thickBot="1" x14ac:dyDescent="0.25">
      <c r="A5" s="504"/>
      <c r="B5" s="511"/>
      <c r="C5" s="493" t="s">
        <v>350</v>
      </c>
      <c r="D5" s="494"/>
      <c r="E5" s="305"/>
    </row>
    <row r="6" spans="1:5" ht="12.75" customHeight="1" x14ac:dyDescent="0.2">
      <c r="A6" s="504"/>
      <c r="B6" s="511"/>
      <c r="C6" s="495" t="s">
        <v>351</v>
      </c>
      <c r="D6" s="498" t="s">
        <v>352</v>
      </c>
      <c r="E6" s="305"/>
    </row>
    <row r="7" spans="1:5" ht="4.5" customHeight="1" x14ac:dyDescent="0.2">
      <c r="A7" s="504"/>
      <c r="B7" s="511"/>
      <c r="C7" s="496"/>
      <c r="D7" s="499"/>
      <c r="E7" s="305"/>
    </row>
    <row r="8" spans="1:5" ht="30" customHeight="1" thickBot="1" x14ac:dyDescent="0.25">
      <c r="A8" s="512"/>
      <c r="B8" s="513"/>
      <c r="C8" s="497"/>
      <c r="D8" s="500"/>
      <c r="E8" s="305"/>
    </row>
    <row r="9" spans="1:5" ht="15" customHeight="1" thickBot="1" x14ac:dyDescent="0.3">
      <c r="A9" s="312">
        <v>1</v>
      </c>
      <c r="B9" s="313" t="s">
        <v>275</v>
      </c>
      <c r="C9" s="194">
        <f>SUM(C10:C16)</f>
        <v>2854</v>
      </c>
      <c r="D9" s="195">
        <f>SUM(D10:D16)</f>
        <v>2572.1999999999998</v>
      </c>
      <c r="E9" s="314"/>
    </row>
    <row r="10" spans="1:5" ht="16.5" customHeight="1" x14ac:dyDescent="0.25">
      <c r="A10" s="315" t="s">
        <v>233</v>
      </c>
      <c r="B10" s="316" t="s">
        <v>277</v>
      </c>
      <c r="C10" s="201">
        <f>700+500+500+130+110+100+100+220+220</f>
        <v>2580</v>
      </c>
      <c r="D10" s="202">
        <f>736+537.5+110.3+124.9+144.3+115.7+86.5+222.3+247.7</f>
        <v>2325.1999999999998</v>
      </c>
      <c r="E10" s="305"/>
    </row>
    <row r="11" spans="1:5" ht="31.5" customHeight="1" x14ac:dyDescent="0.25">
      <c r="A11" s="317" t="s">
        <v>278</v>
      </c>
      <c r="B11" s="205" t="s">
        <v>279</v>
      </c>
      <c r="C11" s="206">
        <v>9.4</v>
      </c>
      <c r="D11" s="207">
        <v>0</v>
      </c>
      <c r="E11" s="305"/>
    </row>
    <row r="12" spans="1:5" ht="31.5" customHeight="1" x14ac:dyDescent="0.2">
      <c r="A12" s="209" t="s">
        <v>280</v>
      </c>
      <c r="B12" s="318" t="s">
        <v>281</v>
      </c>
      <c r="C12" s="206">
        <f>23.2+23.2+23.2+23.2+23.2+23.2+23.2+23.2+23.2</f>
        <v>208.79999999999995</v>
      </c>
      <c r="D12" s="207">
        <f>0+23.2+23.2+23.2+23.2+23.2+23.2+23.2+23.2</f>
        <v>185.59999999999997</v>
      </c>
      <c r="E12" s="305"/>
    </row>
    <row r="13" spans="1:5" x14ac:dyDescent="0.2">
      <c r="A13" s="209" t="s">
        <v>282</v>
      </c>
      <c r="B13" s="318" t="s">
        <v>283</v>
      </c>
      <c r="C13" s="206">
        <f>3.3+3.3+3.3+3.3+3.3+3.3+3.3+3.3+3.3</f>
        <v>29.700000000000003</v>
      </c>
      <c r="D13" s="207">
        <f>3.3+3.5+3.5+3.5+3.4+3.4+3.4+3.4+3.4</f>
        <v>30.799999999999994</v>
      </c>
      <c r="E13" s="305"/>
    </row>
    <row r="14" spans="1:5" ht="16.5" customHeight="1" x14ac:dyDescent="0.2">
      <c r="A14" s="209" t="s">
        <v>284</v>
      </c>
      <c r="B14" s="318" t="s">
        <v>285</v>
      </c>
      <c r="C14" s="206">
        <f>2.5+2.5+2.5+2.5+2.5+2.5+2.5+2.5+2.5</f>
        <v>22.5</v>
      </c>
      <c r="D14" s="207">
        <f>2.6+2.6+2.7+2.8+2.9+3+3.2+3.2+3.2</f>
        <v>26.2</v>
      </c>
      <c r="E14" s="305"/>
    </row>
    <row r="15" spans="1:5" ht="33.75" customHeight="1" x14ac:dyDescent="0.2">
      <c r="A15" s="209" t="s">
        <v>286</v>
      </c>
      <c r="B15" s="319" t="s">
        <v>287</v>
      </c>
      <c r="C15" s="206">
        <f>0.2+0.2+0.2+0.2+0.2+0.2+0.2+0.2+0.2</f>
        <v>1.7999999999999998</v>
      </c>
      <c r="D15" s="207">
        <f>0.2+0.5+0+0.2+0.3+0.2+0.3+0.3+0.3</f>
        <v>2.2999999999999998</v>
      </c>
      <c r="E15" s="305"/>
    </row>
    <row r="16" spans="1:5" ht="16.5" customHeight="1" thickBot="1" x14ac:dyDescent="0.25">
      <c r="A16" s="209" t="s">
        <v>288</v>
      </c>
      <c r="B16" s="318" t="s">
        <v>289</v>
      </c>
      <c r="C16" s="206">
        <f>0.2+0.2+0.2+0.2+0.2+0.2+0.2+0.2+0.2</f>
        <v>1.7999999999999998</v>
      </c>
      <c r="D16" s="207">
        <f>0.2+0.2+0.2+0.2+0.3+0.3+0.3+0.2+0.2</f>
        <v>2.1</v>
      </c>
      <c r="E16" s="305"/>
    </row>
    <row r="17" spans="1:5" ht="16.5" customHeight="1" thickBot="1" x14ac:dyDescent="0.3">
      <c r="A17" s="312">
        <v>2</v>
      </c>
      <c r="B17" s="313" t="s">
        <v>291</v>
      </c>
      <c r="C17" s="194">
        <f>C18+C19+C20+C21+C22+C23+C26+C27+C30+C31+C36</f>
        <v>2687.9999999999991</v>
      </c>
      <c r="D17" s="195">
        <f>D18+D19+D20+D21+D22+D23+D26+D27+D30+D31+D36</f>
        <v>2388.6999999999994</v>
      </c>
      <c r="E17" s="305"/>
    </row>
    <row r="18" spans="1:5" ht="15" customHeight="1" x14ac:dyDescent="0.25">
      <c r="A18" s="320" t="str">
        <f>'[1]12-16'!A28</f>
        <v>2.1.</v>
      </c>
      <c r="B18" s="321" t="str">
        <f>'[1]12-16'!B28</f>
        <v>Заробітна плата</v>
      </c>
      <c r="C18" s="220">
        <f>58.6+48.6+99.8+35+35+56.9+67.3+45.3+57.6</f>
        <v>504.1</v>
      </c>
      <c r="D18" s="221">
        <f>54.4+42.2+23.4+33.2+39.2+45.5+88+51.7+60.7</f>
        <v>438.29999999999995</v>
      </c>
      <c r="E18" s="305"/>
    </row>
    <row r="19" spans="1:5" ht="16.5" customHeight="1" x14ac:dyDescent="0.25">
      <c r="A19" s="320" t="str">
        <f>'[1]12-16'!A29</f>
        <v>2.2.</v>
      </c>
      <c r="B19" s="321" t="str">
        <f>'[1]12-16'!B29</f>
        <v>Єдиний соціальний внесок 22 %</v>
      </c>
      <c r="C19" s="220">
        <f>12.9+10.7+22+7.7+7.7+12.5+14.8+10+12.7</f>
        <v>111</v>
      </c>
      <c r="D19" s="221">
        <f>10.5+9.3+5.1+7.3+8.6+10+19.4+11.4+13.3</f>
        <v>94.899999999999991</v>
      </c>
      <c r="E19" s="305"/>
    </row>
    <row r="20" spans="1:5" ht="16.5" customHeight="1" x14ac:dyDescent="0.25">
      <c r="A20" s="320" t="str">
        <f>'[1]12-16'!A30</f>
        <v>2.3.</v>
      </c>
      <c r="B20" s="321" t="str">
        <f>'[1]12-16'!B30</f>
        <v>Собівартість реалізованих товарів</v>
      </c>
      <c r="C20" s="220">
        <f>420+300+300+78+66+60+60+132+132</f>
        <v>1548</v>
      </c>
      <c r="D20" s="221">
        <f>450.9+332.5+68.9+84.9+77+78.6+51.9+139.4+152.8</f>
        <v>1436.9</v>
      </c>
      <c r="E20" s="305"/>
    </row>
    <row r="21" spans="1:5" ht="16.5" customHeight="1" x14ac:dyDescent="0.25">
      <c r="A21" s="320" t="s">
        <v>296</v>
      </c>
      <c r="B21" s="321" t="str">
        <f>'[1]12-16'!B33</f>
        <v xml:space="preserve">Матеріали </v>
      </c>
      <c r="C21" s="220">
        <f>2+2+2+1+1+1+1+1+1</f>
        <v>12</v>
      </c>
      <c r="D21" s="221">
        <f>2+0+3.9+0+0+0.6+1.1</f>
        <v>7.6</v>
      </c>
      <c r="E21" s="305"/>
    </row>
    <row r="22" spans="1:5" ht="46.5" customHeight="1" thickBot="1" x14ac:dyDescent="0.3">
      <c r="A22" s="322" t="s">
        <v>298</v>
      </c>
      <c r="B22" s="323" t="str">
        <f>'[1]12-16'!B34</f>
        <v>Транспортні послуги</v>
      </c>
      <c r="C22" s="230">
        <f>2.5+2.5+2.5+2+2+2+2+2+2</f>
        <v>19.5</v>
      </c>
      <c r="D22" s="231">
        <f>4.2+4.8+2.5+2.9+5.1+3+1.6+3.3+2.5</f>
        <v>29.900000000000002</v>
      </c>
      <c r="E22" s="305"/>
    </row>
    <row r="23" spans="1:5" ht="16.5" customHeight="1" thickBot="1" x14ac:dyDescent="0.3">
      <c r="A23" s="324" t="s">
        <v>300</v>
      </c>
      <c r="B23" s="325" t="s">
        <v>301</v>
      </c>
      <c r="C23" s="235">
        <f>C24+C25</f>
        <v>243.29999999999995</v>
      </c>
      <c r="D23" s="236">
        <f>D24+D25</f>
        <v>232.29999999999995</v>
      </c>
      <c r="E23" s="305"/>
    </row>
    <row r="24" spans="1:5" ht="47.25" customHeight="1" x14ac:dyDescent="0.25">
      <c r="A24" s="326" t="s">
        <v>302</v>
      </c>
      <c r="B24" s="327" t="s">
        <v>303</v>
      </c>
      <c r="C24" s="242">
        <f>0.5+0.5+10.5+0.5+10.5+0.5+0.5+10.5+0.5</f>
        <v>34.5</v>
      </c>
      <c r="D24" s="221">
        <f>0+7.3+0.3+17.7+0.3+20.2+0.3+0.3+0.3</f>
        <v>46.699999999999989</v>
      </c>
      <c r="E24" s="305"/>
    </row>
    <row r="25" spans="1:5" ht="16.5" customHeight="1" thickBot="1" x14ac:dyDescent="0.3">
      <c r="A25" s="322" t="s">
        <v>304</v>
      </c>
      <c r="B25" s="328" t="s">
        <v>305</v>
      </c>
      <c r="C25" s="220">
        <f>23.2+23.2+23.2+23.2+23.2+23.2+23.2+23.2+23.2</f>
        <v>208.79999999999995</v>
      </c>
      <c r="D25" s="221">
        <f>23.2+23.2+23.2+23.2+23.2+23.2+23.2+23.2</f>
        <v>185.59999999999997</v>
      </c>
      <c r="E25" s="305"/>
    </row>
    <row r="26" spans="1:5" ht="15" customHeight="1" thickBot="1" x14ac:dyDescent="0.3">
      <c r="A26" s="324" t="s">
        <v>306</v>
      </c>
      <c r="B26" s="329" t="s">
        <v>307</v>
      </c>
      <c r="C26" s="230">
        <f>5+20+5+20+5+10+10</f>
        <v>75</v>
      </c>
      <c r="D26" s="231">
        <f>0.6+0+0+0+11.8+13.8</f>
        <v>26.200000000000003</v>
      </c>
      <c r="E26" s="305"/>
    </row>
    <row r="27" spans="1:5" ht="15" customHeight="1" thickBot="1" x14ac:dyDescent="0.3">
      <c r="A27" s="324" t="s">
        <v>308</v>
      </c>
      <c r="B27" s="325" t="s">
        <v>309</v>
      </c>
      <c r="C27" s="235">
        <f>C28+C29</f>
        <v>42.5</v>
      </c>
      <c r="D27" s="236">
        <f>D28+D29</f>
        <v>41</v>
      </c>
      <c r="E27" s="305"/>
    </row>
    <row r="28" spans="1:5" ht="48" customHeight="1" x14ac:dyDescent="0.25">
      <c r="A28" s="330" t="s">
        <v>310</v>
      </c>
      <c r="B28" s="331" t="s">
        <v>311</v>
      </c>
      <c r="C28" s="242">
        <f>2.8+2.7+3.2+2.4+2.6+2.3+4.5+4.5+4</f>
        <v>29</v>
      </c>
      <c r="D28" s="221">
        <f>2.8+7.8+3.7+0+1.6+4.5+4.2+0.4+3</f>
        <v>27.999999999999996</v>
      </c>
      <c r="E28" s="305"/>
    </row>
    <row r="29" spans="1:5" ht="16.5" customHeight="1" thickBot="1" x14ac:dyDescent="0.3">
      <c r="A29" s="322" t="s">
        <v>312</v>
      </c>
      <c r="B29" s="328" t="s">
        <v>313</v>
      </c>
      <c r="C29" s="220">
        <f>3+3+2.5+2+0.6+0.6+0.6+0.6+0.6</f>
        <v>13.499999999999998</v>
      </c>
      <c r="D29" s="221">
        <f>2.8+2.5+3.8+1.6+0.4+0.5+0.5+0.5+0.4</f>
        <v>13</v>
      </c>
      <c r="E29" s="305"/>
    </row>
    <row r="30" spans="1:5" ht="16.5" customHeight="1" thickBot="1" x14ac:dyDescent="0.3">
      <c r="A30" s="324" t="s">
        <v>314</v>
      </c>
      <c r="B30" s="325" t="s">
        <v>315</v>
      </c>
      <c r="C30" s="230">
        <f>0.3+0.3+0.3+0.3+0.3+0.3+0.3+0.3+0.3</f>
        <v>2.6999999999999997</v>
      </c>
      <c r="D30" s="231">
        <f>0.3+0.3+0.3+0.3+0.3+0.3+0.3+0.3+0.3</f>
        <v>2.6999999999999997</v>
      </c>
      <c r="E30" s="305"/>
    </row>
    <row r="31" spans="1:5" ht="16.5" customHeight="1" thickBot="1" x14ac:dyDescent="0.3">
      <c r="A31" s="324" t="s">
        <v>316</v>
      </c>
      <c r="B31" s="332" t="s">
        <v>317</v>
      </c>
      <c r="C31" s="265">
        <f>C32+C33+C34+C35</f>
        <v>15.2</v>
      </c>
      <c r="D31" s="236">
        <f>D32+D33+D34+D35</f>
        <v>13.099999999999998</v>
      </c>
      <c r="E31" s="305"/>
    </row>
    <row r="32" spans="1:5" ht="35.25" customHeight="1" x14ac:dyDescent="0.25">
      <c r="A32" s="333" t="s">
        <v>353</v>
      </c>
      <c r="B32" s="334" t="s">
        <v>354</v>
      </c>
      <c r="C32" s="242">
        <f>0.3+0.3+0.3+0.3+0.3+0.3+0.3+0.3+0.3</f>
        <v>2.6999999999999997</v>
      </c>
      <c r="D32" s="221">
        <f>0.3+0.3+0.3+0.3+0.3+0.3+0.3+0.7+0.3</f>
        <v>3.0999999999999996</v>
      </c>
      <c r="E32" s="305"/>
    </row>
    <row r="33" spans="1:5" ht="16.5" customHeight="1" x14ac:dyDescent="0.25">
      <c r="A33" s="320" t="s">
        <v>318</v>
      </c>
      <c r="B33" s="335" t="s">
        <v>321</v>
      </c>
      <c r="C33" s="220">
        <f>0.2+0.2+0.2+0.2+0.2+0.2+0.2+0.2+0.2</f>
        <v>1.7999999999999998</v>
      </c>
      <c r="D33" s="221">
        <f>0.1+0.1+0.1+0.1+0.1+0.1+0.1+0.1+0.1</f>
        <v>0.89999999999999991</v>
      </c>
      <c r="E33" s="305"/>
    </row>
    <row r="34" spans="1:5" ht="16.5" customHeight="1" x14ac:dyDescent="0.25">
      <c r="A34" s="320" t="s">
        <v>320</v>
      </c>
      <c r="B34" s="335" t="s">
        <v>323</v>
      </c>
      <c r="C34" s="220">
        <f>1.5+0.5+0+1+0+1+0+0.5</f>
        <v>4.5</v>
      </c>
      <c r="D34" s="221">
        <f>0+0+0+1+0.8+0.2+1.3</f>
        <v>3.3</v>
      </c>
      <c r="E34" s="305"/>
    </row>
    <row r="35" spans="1:5" ht="30.75" customHeight="1" thickBot="1" x14ac:dyDescent="0.3">
      <c r="A35" s="336" t="s">
        <v>322</v>
      </c>
      <c r="B35" s="337" t="s">
        <v>325</v>
      </c>
      <c r="C35" s="220">
        <f>3.4+0.8+0+2</f>
        <v>6.2</v>
      </c>
      <c r="D35" s="221">
        <f>3.4+0.8+0.7+0.3+0.6</f>
        <v>5.8</v>
      </c>
      <c r="E35" s="305"/>
    </row>
    <row r="36" spans="1:5" ht="16.5" customHeight="1" thickBot="1" x14ac:dyDescent="0.3">
      <c r="A36" s="324" t="s">
        <v>326</v>
      </c>
      <c r="B36" s="338" t="s">
        <v>109</v>
      </c>
      <c r="C36" s="235">
        <f>C37+C38+C39+C40+C41</f>
        <v>114.7</v>
      </c>
      <c r="D36" s="236">
        <f>D37+D38+D39+D40+D41</f>
        <v>65.8</v>
      </c>
      <c r="E36" s="305"/>
    </row>
    <row r="37" spans="1:5" ht="16.5" customHeight="1" x14ac:dyDescent="0.25">
      <c r="A37" s="339" t="s">
        <v>327</v>
      </c>
      <c r="B37" s="334" t="s">
        <v>328</v>
      </c>
      <c r="C37" s="242">
        <f>0.7+0.7+0.7+0.8+0.8+0.8+0.8+0.8+0.8</f>
        <v>6.8999999999999986</v>
      </c>
      <c r="D37" s="221">
        <f>0.8+0.8+0.8+0.8+0.8+0.8+0.8+0.8+0.8</f>
        <v>7.1999999999999993</v>
      </c>
      <c r="E37" s="305"/>
    </row>
    <row r="38" spans="1:5" ht="16.5" customHeight="1" x14ac:dyDescent="0.25">
      <c r="A38" s="320" t="s">
        <v>329</v>
      </c>
      <c r="B38" s="335" t="s">
        <v>330</v>
      </c>
      <c r="C38" s="220">
        <f>0.2+0.2+0.2+0.2+0.2+0.2+0.2+0.2+0.2</f>
        <v>1.7999999999999998</v>
      </c>
      <c r="D38" s="221">
        <v>0</v>
      </c>
      <c r="E38" s="305"/>
    </row>
    <row r="39" spans="1:5" ht="16.5" customHeight="1" x14ac:dyDescent="0.25">
      <c r="A39" s="320" t="s">
        <v>331</v>
      </c>
      <c r="B39" s="335" t="s">
        <v>332</v>
      </c>
      <c r="C39" s="220">
        <f>22+10+10+8+8+8+5+6+7</f>
        <v>84</v>
      </c>
      <c r="D39" s="221">
        <f>21.6+11.7+0.9+0.3+0.6+0.9+1.1+1.2+2.4</f>
        <v>40.699999999999996</v>
      </c>
      <c r="E39" s="305"/>
    </row>
    <row r="40" spans="1:5" ht="16.5" customHeight="1" x14ac:dyDescent="0.25">
      <c r="A40" s="336" t="s">
        <v>333</v>
      </c>
      <c r="B40" s="335" t="s">
        <v>334</v>
      </c>
      <c r="C40" s="220">
        <v>0</v>
      </c>
      <c r="D40" s="221">
        <f>0+0+0+0+0</f>
        <v>0</v>
      </c>
      <c r="E40" s="305"/>
    </row>
    <row r="41" spans="1:5" ht="16.5" customHeight="1" thickBot="1" x14ac:dyDescent="0.3">
      <c r="A41" s="322" t="s">
        <v>335</v>
      </c>
      <c r="B41" s="340" t="s">
        <v>336</v>
      </c>
      <c r="C41" s="220">
        <f>1+1+3+7+7+0.5+1+0.5+1</f>
        <v>22</v>
      </c>
      <c r="D41" s="221">
        <f>3+0.7+6.7+6.7+0.8</f>
        <v>17.900000000000002</v>
      </c>
      <c r="E41" s="305"/>
    </row>
    <row r="42" spans="1:5" ht="16.5" customHeight="1" thickBot="1" x14ac:dyDescent="0.3">
      <c r="A42" s="341" t="s">
        <v>98</v>
      </c>
      <c r="B42" s="342" t="s">
        <v>338</v>
      </c>
      <c r="C42" s="283">
        <f>SUM(C9-C17)</f>
        <v>166.00000000000091</v>
      </c>
      <c r="D42" s="284">
        <f>SUM(D9-D17)</f>
        <v>183.50000000000045</v>
      </c>
      <c r="E42" s="305"/>
    </row>
    <row r="43" spans="1:5" ht="16.5" customHeight="1" x14ac:dyDescent="0.25">
      <c r="A43" s="343">
        <v>4</v>
      </c>
      <c r="B43" s="331" t="s">
        <v>340</v>
      </c>
      <c r="C43" s="242"/>
      <c r="D43" s="221"/>
      <c r="E43" s="305"/>
    </row>
    <row r="44" spans="1:5" ht="16.5" customHeight="1" x14ac:dyDescent="0.25">
      <c r="A44" s="344">
        <v>5</v>
      </c>
      <c r="B44" s="321" t="s">
        <v>342</v>
      </c>
      <c r="C44" s="220"/>
      <c r="D44" s="287"/>
      <c r="E44" s="305"/>
    </row>
    <row r="45" spans="1:5" ht="16.5" customHeight="1" x14ac:dyDescent="0.25">
      <c r="A45" s="344">
        <v>6</v>
      </c>
      <c r="B45" s="321" t="s">
        <v>344</v>
      </c>
      <c r="C45" s="220">
        <v>18</v>
      </c>
      <c r="D45" s="287">
        <v>14.4</v>
      </c>
      <c r="E45" s="305"/>
    </row>
    <row r="46" spans="1:5" ht="50.25" customHeight="1" x14ac:dyDescent="0.25">
      <c r="A46" s="501">
        <v>7</v>
      </c>
      <c r="B46" s="345" t="s">
        <v>346</v>
      </c>
      <c r="C46" s="220">
        <f>60+10+10</f>
        <v>80</v>
      </c>
      <c r="D46" s="287">
        <f>17.4+18.6</f>
        <v>36</v>
      </c>
      <c r="E46" s="305"/>
    </row>
    <row r="47" spans="1:5" ht="16.5" customHeight="1" thickBot="1" x14ac:dyDescent="0.3">
      <c r="A47" s="502"/>
      <c r="B47" s="346" t="s">
        <v>347</v>
      </c>
      <c r="C47" s="290"/>
      <c r="D47" s="291"/>
      <c r="E47" s="305"/>
    </row>
    <row r="48" spans="1:5" ht="16.5" customHeight="1" x14ac:dyDescent="0.25">
      <c r="A48" s="347"/>
      <c r="B48" s="348"/>
      <c r="C48" s="349"/>
      <c r="D48" s="349"/>
      <c r="E48" s="305"/>
    </row>
    <row r="49" spans="5:5" x14ac:dyDescent="0.25">
      <c r="E49" s="350"/>
    </row>
    <row r="50" spans="5:5" x14ac:dyDescent="0.25">
      <c r="E50" s="350"/>
    </row>
    <row r="51" spans="5:5" x14ac:dyDescent="0.25">
      <c r="E51" s="350"/>
    </row>
  </sheetData>
  <mergeCells count="9">
    <mergeCell ref="A1:D1"/>
    <mergeCell ref="C5:D5"/>
    <mergeCell ref="C6:C8"/>
    <mergeCell ref="D6:D8"/>
    <mergeCell ref="A46:A47"/>
    <mergeCell ref="A3:A8"/>
    <mergeCell ref="B3:B8"/>
    <mergeCell ref="C3:D3"/>
    <mergeCell ref="C4:D4"/>
  </mergeCells>
  <pageMargins left="1.6929133858267718" right="0.70866141732283472" top="0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фін.зв-сть на 01.10 (додаток 2)</vt:lpstr>
      <vt:lpstr>фінплан за вересень (додаток 4)</vt:lpstr>
      <vt:lpstr>зар.плата на 01.10 (додаток 5)</vt:lpstr>
      <vt:lpstr>заборг.на 01.10.(додаток 6)</vt:lpstr>
      <vt:lpstr>зв.на бал. І22(9 міс)(додаток7)</vt:lpstr>
      <vt:lpstr>'зв.на бал. І22(9 міс)(додаток7)'!OLE_LINK1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Кабзар Нач</dc:creator>
  <cp:lastModifiedBy>Кабзар Нач</cp:lastModifiedBy>
  <cp:lastPrinted>2022-11-29T08:32:37Z</cp:lastPrinted>
  <dcterms:created xsi:type="dcterms:W3CDTF">2022-10-24T12:58:07Z</dcterms:created>
  <dcterms:modified xsi:type="dcterms:W3CDTF">2023-08-03T07:01:55Z</dcterms:modified>
</cp:coreProperties>
</file>