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9660" windowHeight="12315"/>
  </bookViews>
  <sheets>
    <sheet name="звіт про вик.плану (додаток 7)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44" i="1" l="1"/>
  <c r="C44" i="1"/>
  <c r="D39" i="1"/>
  <c r="C39" i="1"/>
  <c r="D38" i="1"/>
  <c r="D37" i="1"/>
  <c r="C37" i="1"/>
  <c r="C34" i="1" s="1"/>
  <c r="C36" i="1"/>
  <c r="D35" i="1"/>
  <c r="C35" i="1"/>
  <c r="D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B20" i="1"/>
  <c r="D19" i="1"/>
  <c r="C19" i="1"/>
  <c r="B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D14" i="1"/>
  <c r="C14" i="1"/>
  <c r="D13" i="1"/>
  <c r="C13" i="1"/>
  <c r="D12" i="1"/>
  <c r="C12" i="1"/>
  <c r="D11" i="1"/>
  <c r="C11" i="1"/>
  <c r="D10" i="1"/>
  <c r="C10" i="1"/>
  <c r="D8" i="1"/>
  <c r="C8" i="1"/>
  <c r="D7" i="1"/>
  <c r="C7" i="1"/>
  <c r="C15" i="1" l="1"/>
  <c r="C40" i="1" s="1"/>
  <c r="D40" i="1"/>
</calcChain>
</file>

<file path=xl/sharedStrings.xml><?xml version="1.0" encoding="utf-8"?>
<sst xmlns="http://schemas.openxmlformats.org/spreadsheetml/2006/main" count="70" uniqueCount="70">
  <si>
    <t>№ з/п</t>
  </si>
  <si>
    <t>Показники</t>
  </si>
  <si>
    <t>Виконання фінансового плану за січень-червень 2022 року</t>
  </si>
  <si>
    <t>План</t>
  </si>
  <si>
    <t>Факт</t>
  </si>
  <si>
    <t>Доходи, всього,</t>
  </si>
  <si>
    <t>1.1</t>
  </si>
  <si>
    <t>Доход від продажу товарів</t>
  </si>
  <si>
    <t>1.2.</t>
  </si>
  <si>
    <t>Комісійна винагорода за адміністрування роботи Револьверного фонду</t>
  </si>
  <si>
    <t>1.3.</t>
  </si>
  <si>
    <t>Амортизація безкоштовно отриманих основних засобів</t>
  </si>
  <si>
    <t>1.4.</t>
  </si>
  <si>
    <t>Дохід від оренди (Ощадбанк)</t>
  </si>
  <si>
    <t>1.5.</t>
  </si>
  <si>
    <t>Дохід від оренди (ПП Артлайн)</t>
  </si>
  <si>
    <t>1.6.</t>
  </si>
  <si>
    <t>Відшкодування витрат на утримання орендованого майна (ПП Артлайн)</t>
  </si>
  <si>
    <t>1.7.</t>
  </si>
  <si>
    <t>Відшкодування плати за землю (ПП Артлайн)</t>
  </si>
  <si>
    <t>Витрати, всього</t>
  </si>
  <si>
    <t>2.5.</t>
  </si>
  <si>
    <t>2.6.</t>
  </si>
  <si>
    <t>2.7.</t>
  </si>
  <si>
    <t xml:space="preserve">Амортизація основних засобів </t>
  </si>
  <si>
    <t>2.7.1.</t>
  </si>
  <si>
    <t>власних основних  засобів</t>
  </si>
  <si>
    <t>2.7.2.</t>
  </si>
  <si>
    <t>безкоштовно отриманих основних засобів</t>
  </si>
  <si>
    <t>2.8.</t>
  </si>
  <si>
    <t xml:space="preserve">Поточний ремонт </t>
  </si>
  <si>
    <t>2.9.</t>
  </si>
  <si>
    <t xml:space="preserve">Комунальні послуги </t>
  </si>
  <si>
    <t>2.9.1.</t>
  </si>
  <si>
    <t>електроенергія</t>
  </si>
  <si>
    <t>2.9.2.</t>
  </si>
  <si>
    <t>тепло; водопостачання, водовідведення</t>
  </si>
  <si>
    <t>2.10.</t>
  </si>
  <si>
    <t>Послуги зв’язку</t>
  </si>
  <si>
    <t>2.11.</t>
  </si>
  <si>
    <t xml:space="preserve">Послуги сторонніх організацій </t>
  </si>
  <si>
    <t>2.11.1</t>
  </si>
  <si>
    <t>Обсл.РРО та налаштування торгового обладнання</t>
  </si>
  <si>
    <t>2.11.2.</t>
  </si>
  <si>
    <t>КП "ЖЕО"  (вивіз сміття)</t>
  </si>
  <si>
    <t>2.11.3.</t>
  </si>
  <si>
    <t>Обслуговування орг.техніки</t>
  </si>
  <si>
    <t>2.11.4.</t>
  </si>
  <si>
    <t>Обслуговування програмного забезпечення М.Е.Док</t>
  </si>
  <si>
    <t>2.12.</t>
  </si>
  <si>
    <t>Інші витрати</t>
  </si>
  <si>
    <t>2.12.1.</t>
  </si>
  <si>
    <t xml:space="preserve">Плата за землю </t>
  </si>
  <si>
    <t>2.12.2.</t>
  </si>
  <si>
    <t>Поштові витрати (марки)</t>
  </si>
  <si>
    <t>2.12.3.</t>
  </si>
  <si>
    <t>Послуги банка</t>
  </si>
  <si>
    <t>2.12.4.</t>
  </si>
  <si>
    <t xml:space="preserve">Витрати на відрядження </t>
  </si>
  <si>
    <t>2.12.5.</t>
  </si>
  <si>
    <t xml:space="preserve">Інші витрати </t>
  </si>
  <si>
    <t>3</t>
  </si>
  <si>
    <t>Фінансовий результат оподаткування</t>
  </si>
  <si>
    <t>Дотація з міського бюджету</t>
  </si>
  <si>
    <t xml:space="preserve">Фінансовий результат з врахуванням дотації </t>
  </si>
  <si>
    <t>Сплата податку на прибуток</t>
  </si>
  <si>
    <t xml:space="preserve">Придбання основних засобів, всього, </t>
  </si>
  <si>
    <t>в т.ч. в розрізі основних засобів</t>
  </si>
  <si>
    <t xml:space="preserve">Звіт   про виконання фінансового плану  ККТП "КОБЗАР" </t>
  </si>
  <si>
    <t>за січень-червень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</si>
</sst>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/>
    <xf numFmtId="0" fontId="4" fillId="0" borderId="0" xfId="1" applyFont="1" applyAlignment="1"/>
    <xf numFmtId="0" fontId="6" fillId="0" borderId="12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justify" vertical="top" wrapText="1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1" fillId="0" borderId="0" xfId="1" applyNumberFormat="1"/>
    <xf numFmtId="49" fontId="2" fillId="0" borderId="16" xfId="1" applyNumberFormat="1" applyFont="1" applyFill="1" applyBorder="1" applyAlignment="1">
      <alignment horizontal="center" vertical="top" wrapText="1"/>
    </xf>
    <xf numFmtId="0" fontId="2" fillId="0" borderId="17" xfId="1" applyFont="1" applyFill="1" applyBorder="1"/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vertical="top" wrapText="1"/>
    </xf>
    <xf numFmtId="0" fontId="2" fillId="0" borderId="24" xfId="1" applyFont="1" applyFill="1" applyBorder="1" applyAlignment="1">
      <alignment vertical="center" wrapText="1"/>
    </xf>
    <xf numFmtId="0" fontId="2" fillId="0" borderId="23" xfId="1" applyNumberFormat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justify" vertical="top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 wrapText="1"/>
    </xf>
    <xf numFmtId="0" fontId="2" fillId="0" borderId="30" xfId="1" applyNumberFormat="1" applyFont="1" applyFill="1" applyBorder="1" applyAlignment="1">
      <alignment horizontal="center" vertical="top" wrapText="1"/>
    </xf>
    <xf numFmtId="0" fontId="2" fillId="0" borderId="31" xfId="1" applyFont="1" applyFill="1" applyBorder="1" applyAlignment="1">
      <alignment horizontal="justify" vertical="top" wrapText="1"/>
    </xf>
    <xf numFmtId="164" fontId="2" fillId="0" borderId="32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6" fillId="0" borderId="12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164" fontId="2" fillId="0" borderId="33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justify" vertic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2" fillId="0" borderId="31" xfId="1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justify" vertical="top" wrapText="1"/>
    </xf>
    <xf numFmtId="0" fontId="2" fillId="0" borderId="16" xfId="1" applyNumberFormat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justify"/>
    </xf>
    <xf numFmtId="0" fontId="2" fillId="0" borderId="24" xfId="2" applyFont="1" applyFill="1" applyBorder="1" applyAlignment="1">
      <alignment horizontal="justify"/>
    </xf>
    <xf numFmtId="14" fontId="2" fillId="0" borderId="23" xfId="1" applyNumberFormat="1" applyFont="1" applyFill="1" applyBorder="1" applyAlignment="1">
      <alignment horizontal="center" vertical="top" wrapText="1"/>
    </xf>
    <xf numFmtId="0" fontId="2" fillId="0" borderId="24" xfId="2" applyFont="1" applyFill="1" applyBorder="1" applyAlignment="1">
      <alignment horizontal="justify" wrapText="1"/>
    </xf>
    <xf numFmtId="0" fontId="7" fillId="0" borderId="6" xfId="1" applyFont="1" applyFill="1" applyBorder="1" applyAlignment="1">
      <alignment horizontal="justify" vertical="top" wrapText="1"/>
    </xf>
    <xf numFmtId="14" fontId="2" fillId="0" borderId="16" xfId="1" applyNumberFormat="1" applyFont="1" applyFill="1" applyBorder="1" applyAlignment="1">
      <alignment horizontal="center" vertical="top" wrapText="1"/>
    </xf>
    <xf numFmtId="0" fontId="2" fillId="0" borderId="31" xfId="2" applyFont="1" applyFill="1" applyBorder="1" applyAlignment="1">
      <alignment horizontal="justify"/>
    </xf>
    <xf numFmtId="0" fontId="6" fillId="0" borderId="1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justify" vertical="center" wrapText="1"/>
    </xf>
    <xf numFmtId="164" fontId="6" fillId="0" borderId="33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vertical="top" wrapText="1"/>
    </xf>
    <xf numFmtId="0" fontId="2" fillId="0" borderId="23" xfId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wrapText="1"/>
    </xf>
    <xf numFmtId="0" fontId="2" fillId="0" borderId="30" xfId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justify" vertical="center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35" xfId="1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%20(3)\&#1043;&#1054;&#1056;&#1048;&#1057;&#1055;&#1054;&#1051;\&#1042;&#1080;&#1082;&#1086;&#1085;&#1082;&#1086;&#1084;%202015\&#1074;&#1080;&#1082;&#1086;&#1085;&#1082;&#1086;&#1084;2016\&#1079;&#1074;&#1110;&#1090;%20&#1087;&#1088;&#1086;%20&#1074;&#1080;&#1082;&#1086;&#1085;%20&#1087;&#1083;&#1072;&#1085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5"/>
      <sheetName val="зв.на бал.ІV"/>
      <sheetName val="01-16"/>
      <sheetName val="02-16"/>
      <sheetName val="03-16"/>
      <sheetName val="зв.на бал.І"/>
      <sheetName val="04-16"/>
      <sheetName val="05-16"/>
      <sheetName val="05-16 (2)"/>
      <sheetName val="06-16"/>
      <sheetName val="зв.на бал.ІІ"/>
      <sheetName val="07-16 "/>
      <sheetName val="08-16"/>
      <sheetName val="08-16 (2)"/>
      <sheetName val="09-16"/>
      <sheetName val="зв.на бал.ІІІ"/>
      <sheetName val="10-16"/>
      <sheetName val="11-16"/>
      <sheetName val="12-16"/>
      <sheetName val="зв.на бал.ІV16"/>
      <sheetName val="01-17"/>
      <sheetName val="02-17"/>
      <sheetName val="03-17"/>
      <sheetName val="зв.на бал.І17"/>
      <sheetName val="04-17"/>
      <sheetName val="05-17"/>
      <sheetName val="05-17 (2)"/>
      <sheetName val="06-17"/>
      <sheetName val="зв.на бал.ІІ17"/>
      <sheetName val="07-17"/>
      <sheetName val="08-17"/>
      <sheetName val="09-17"/>
      <sheetName val="зв.на бал.ІІІ17"/>
      <sheetName val="10-17"/>
      <sheetName val="11-17"/>
      <sheetName val="12-17"/>
      <sheetName val="зв.на бал.ІV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8">
          <cell r="A28" t="str">
            <v>2.1.</v>
          </cell>
          <cell r="B28" t="str">
            <v>Заробітна плата</v>
          </cell>
        </row>
        <row r="29">
          <cell r="A29" t="str">
            <v>2.2.</v>
          </cell>
          <cell r="B29" t="str">
            <v>Єдиний соціальний внесок 22 %</v>
          </cell>
        </row>
        <row r="30">
          <cell r="A30" t="str">
            <v>2.3.</v>
          </cell>
          <cell r="B30" t="str">
            <v>Собівартість реалізованих товарів</v>
          </cell>
        </row>
        <row r="33">
          <cell r="B33" t="str">
            <v xml:space="preserve">Матеріали </v>
          </cell>
        </row>
        <row r="34">
          <cell r="B34" t="str">
            <v>Транспортні послуги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28" workbookViewId="0">
      <selection activeCell="B3" sqref="B3:B6"/>
    </sheetView>
  </sheetViews>
  <sheetFormatPr defaultRowHeight="15.75" x14ac:dyDescent="0.25"/>
  <cols>
    <col min="1" max="1" width="11.28515625" style="1" bestFit="1" customWidth="1"/>
    <col min="2" max="2" width="46.28515625" style="1" customWidth="1"/>
    <col min="3" max="3" width="9.140625" style="1"/>
    <col min="4" max="4" width="9.140625" style="66"/>
    <col min="5" max="5" width="13.5703125" style="1" customWidth="1"/>
    <col min="6" max="16384" width="9.140625" style="2"/>
  </cols>
  <sheetData>
    <row r="1" spans="1:5" s="1" customFormat="1" ht="28.5" customHeight="1" x14ac:dyDescent="0.3">
      <c r="A1" s="69" t="s">
        <v>68</v>
      </c>
      <c r="B1" s="69"/>
      <c r="C1" s="69"/>
      <c r="D1" s="69"/>
      <c r="E1" s="3"/>
    </row>
    <row r="2" spans="1:5" s="1" customFormat="1" ht="16.5" thickBot="1" x14ac:dyDescent="0.3">
      <c r="B2" s="68" t="s">
        <v>69</v>
      </c>
      <c r="C2" s="4"/>
      <c r="D2" s="4"/>
    </row>
    <row r="3" spans="1:5" ht="36" customHeight="1" thickBot="1" x14ac:dyDescent="0.25">
      <c r="A3" s="70" t="s">
        <v>0</v>
      </c>
      <c r="B3" s="71" t="s">
        <v>1</v>
      </c>
      <c r="C3" s="72" t="s">
        <v>2</v>
      </c>
      <c r="D3" s="73"/>
      <c r="E3" s="2"/>
    </row>
    <row r="4" spans="1:5" ht="33.75" customHeight="1" x14ac:dyDescent="0.2">
      <c r="A4" s="74"/>
      <c r="B4" s="75"/>
      <c r="C4" s="76" t="s">
        <v>3</v>
      </c>
      <c r="D4" s="77" t="s">
        <v>4</v>
      </c>
      <c r="E4" s="2"/>
    </row>
    <row r="5" spans="1:5" ht="16.5" customHeight="1" x14ac:dyDescent="0.2">
      <c r="A5" s="74"/>
      <c r="B5" s="75"/>
      <c r="C5" s="78"/>
      <c r="D5" s="79"/>
      <c r="E5" s="2"/>
    </row>
    <row r="6" spans="1:5" ht="16.5" customHeight="1" thickBot="1" x14ac:dyDescent="0.25">
      <c r="A6" s="80"/>
      <c r="B6" s="81"/>
      <c r="C6" s="82"/>
      <c r="D6" s="83"/>
      <c r="E6" s="2"/>
    </row>
    <row r="7" spans="1:5" ht="15" customHeight="1" thickBot="1" x14ac:dyDescent="0.3">
      <c r="A7" s="5">
        <v>1</v>
      </c>
      <c r="B7" s="6" t="s">
        <v>5</v>
      </c>
      <c r="C7" s="7">
        <f>SUM(C8:C14)</f>
        <v>2216.3999999999996</v>
      </c>
      <c r="D7" s="8">
        <f>SUM(D8:D14)</f>
        <v>1924.7</v>
      </c>
      <c r="E7" s="9"/>
    </row>
    <row r="8" spans="1:5" ht="16.5" customHeight="1" x14ac:dyDescent="0.25">
      <c r="A8" s="10" t="s">
        <v>6</v>
      </c>
      <c r="B8" s="11" t="s">
        <v>7</v>
      </c>
      <c r="C8" s="12">
        <f>700+500+500+130+110+100</f>
        <v>2040</v>
      </c>
      <c r="D8" s="13">
        <f>736+537.5+110.3+124.9+144.3+115.7</f>
        <v>1768.7</v>
      </c>
      <c r="E8" s="2"/>
    </row>
    <row r="9" spans="1:5" ht="16.5" customHeight="1" x14ac:dyDescent="0.25">
      <c r="A9" s="14" t="s">
        <v>8</v>
      </c>
      <c r="B9" s="15" t="s">
        <v>9</v>
      </c>
      <c r="C9" s="16">
        <v>0</v>
      </c>
      <c r="D9" s="17">
        <v>0</v>
      </c>
      <c r="E9" s="2"/>
    </row>
    <row r="10" spans="1:5" ht="16.5" customHeight="1" x14ac:dyDescent="0.2">
      <c r="A10" s="18" t="s">
        <v>10</v>
      </c>
      <c r="B10" s="19" t="s">
        <v>11</v>
      </c>
      <c r="C10" s="16">
        <f>23.2+23.2+23.2+23.2+23.2+23.2</f>
        <v>139.19999999999999</v>
      </c>
      <c r="D10" s="17">
        <f>0+23.2+23.2+23.2+23.2+23.2</f>
        <v>116</v>
      </c>
      <c r="E10" s="2"/>
    </row>
    <row r="11" spans="1:5" ht="16.5" customHeight="1" x14ac:dyDescent="0.2">
      <c r="A11" s="18" t="s">
        <v>12</v>
      </c>
      <c r="B11" s="19" t="s">
        <v>13</v>
      </c>
      <c r="C11" s="16">
        <f>3.3+3.3+3.3+3.3+3.3+3.3</f>
        <v>19.8</v>
      </c>
      <c r="D11" s="17">
        <f>3.3+3.5+3.5+3.5+3.4+3.4</f>
        <v>20.599999999999998</v>
      </c>
      <c r="E11" s="2"/>
    </row>
    <row r="12" spans="1:5" ht="16.5" customHeight="1" x14ac:dyDescent="0.2">
      <c r="A12" s="18" t="s">
        <v>14</v>
      </c>
      <c r="B12" s="19" t="s">
        <v>15</v>
      </c>
      <c r="C12" s="16">
        <f>2.5+2.5+2.5+2.5+2.5+2.5</f>
        <v>15</v>
      </c>
      <c r="D12" s="17">
        <f>2.6+2.6+2.7+2.8+2.9+3</f>
        <v>16.600000000000001</v>
      </c>
      <c r="E12" s="2"/>
    </row>
    <row r="13" spans="1:5" ht="47.25" customHeight="1" x14ac:dyDescent="0.2">
      <c r="A13" s="18" t="s">
        <v>16</v>
      </c>
      <c r="B13" s="20" t="s">
        <v>17</v>
      </c>
      <c r="C13" s="16">
        <f>0.2+0.2+0.2+0.2+0.2+0.2</f>
        <v>1.2</v>
      </c>
      <c r="D13" s="17">
        <f>0.2+0.5+0+0.2+0.3+0.2</f>
        <v>1.4</v>
      </c>
      <c r="E13" s="2"/>
    </row>
    <row r="14" spans="1:5" ht="16.5" customHeight="1" thickBot="1" x14ac:dyDescent="0.25">
      <c r="A14" s="18" t="s">
        <v>18</v>
      </c>
      <c r="B14" s="19" t="s">
        <v>19</v>
      </c>
      <c r="C14" s="16">
        <f>0.2+0.2+0.2+0.2+0.2+0.2</f>
        <v>1.2</v>
      </c>
      <c r="D14" s="17">
        <f>0.2+0.2+0.2+0.2+0.3+0.3</f>
        <v>1.4000000000000001</v>
      </c>
      <c r="E14" s="2"/>
    </row>
    <row r="15" spans="1:5" ht="15" customHeight="1" thickBot="1" x14ac:dyDescent="0.3">
      <c r="A15" s="5">
        <v>2</v>
      </c>
      <c r="B15" s="6" t="s">
        <v>20</v>
      </c>
      <c r="C15" s="7">
        <f>C16+C17+C18+C19+C20+C21+C24+C25+C28+C29+C34</f>
        <v>2013.0000000000002</v>
      </c>
      <c r="D15" s="8">
        <f>D16+D17+D18+D19+D20+D21+D24+D25+D28+D29+D34</f>
        <v>1698.6000000000001</v>
      </c>
      <c r="E15" s="2"/>
    </row>
    <row r="16" spans="1:5" ht="15" customHeight="1" x14ac:dyDescent="0.25">
      <c r="A16" s="21" t="str">
        <f>'[1]12-16'!A28</f>
        <v>2.1.</v>
      </c>
      <c r="B16" s="22" t="str">
        <f>'[1]12-16'!B28</f>
        <v>Заробітна плата</v>
      </c>
      <c r="C16" s="23">
        <f>58.6+48.6+99.8+35+35+56.9</f>
        <v>333.9</v>
      </c>
      <c r="D16" s="24">
        <f>54.4+42.2+23.4+33.2+39.2+45.5</f>
        <v>237.89999999999998</v>
      </c>
      <c r="E16" s="2"/>
    </row>
    <row r="17" spans="1:5" ht="16.5" customHeight="1" x14ac:dyDescent="0.25">
      <c r="A17" s="21" t="str">
        <f>'[1]12-16'!A29</f>
        <v>2.2.</v>
      </c>
      <c r="B17" s="22" t="str">
        <f>'[1]12-16'!B29</f>
        <v>Єдиний соціальний внесок 22 %</v>
      </c>
      <c r="C17" s="23">
        <f>12.9+10.7+22+7.7+7.7+12.5</f>
        <v>73.5</v>
      </c>
      <c r="D17" s="24">
        <f>10.5+9.3+5.1+7.3+8.6+10</f>
        <v>50.8</v>
      </c>
      <c r="E17" s="2"/>
    </row>
    <row r="18" spans="1:5" ht="16.5" customHeight="1" x14ac:dyDescent="0.25">
      <c r="A18" s="21" t="str">
        <f>'[1]12-16'!A30</f>
        <v>2.3.</v>
      </c>
      <c r="B18" s="22" t="str">
        <f>'[1]12-16'!B30</f>
        <v>Собівартість реалізованих товарів</v>
      </c>
      <c r="C18" s="23">
        <f>420+300+300+78+66+60</f>
        <v>1224</v>
      </c>
      <c r="D18" s="24">
        <f>450.9+332.5+68.9+84.9+77+78.6</f>
        <v>1092.8</v>
      </c>
      <c r="E18" s="2"/>
    </row>
    <row r="19" spans="1:5" ht="16.5" customHeight="1" x14ac:dyDescent="0.25">
      <c r="A19" s="21" t="s">
        <v>21</v>
      </c>
      <c r="B19" s="22" t="str">
        <f>'[1]12-16'!B33</f>
        <v xml:space="preserve">Матеріали </v>
      </c>
      <c r="C19" s="23">
        <f>2+2+2+1+1+1</f>
        <v>9</v>
      </c>
      <c r="D19" s="24">
        <f>2+0+3.9+0+0+0.6</f>
        <v>6.5</v>
      </c>
      <c r="E19" s="2"/>
    </row>
    <row r="20" spans="1:5" ht="16.5" customHeight="1" thickBot="1" x14ac:dyDescent="0.3">
      <c r="A20" s="25" t="s">
        <v>22</v>
      </c>
      <c r="B20" s="26" t="str">
        <f>'[1]12-16'!B34</f>
        <v>Транспортні послуги</v>
      </c>
      <c r="C20" s="27">
        <f>2.5+2.5+2.5+2+2+2</f>
        <v>13.5</v>
      </c>
      <c r="D20" s="28">
        <f>4.2+4.8+2.5+2.9+5.1+3</f>
        <v>22.5</v>
      </c>
      <c r="E20" s="2"/>
    </row>
    <row r="21" spans="1:5" ht="35.25" customHeight="1" thickBot="1" x14ac:dyDescent="0.3">
      <c r="A21" s="29" t="s">
        <v>23</v>
      </c>
      <c r="B21" s="30" t="s">
        <v>24</v>
      </c>
      <c r="C21" s="31">
        <f>C22+C23</f>
        <v>162.19999999999999</v>
      </c>
      <c r="D21" s="32">
        <f>D22+D23</f>
        <v>161.80000000000001</v>
      </c>
      <c r="E21" s="2"/>
    </row>
    <row r="22" spans="1:5" ht="16.5" customHeight="1" x14ac:dyDescent="0.25">
      <c r="A22" s="33" t="s">
        <v>25</v>
      </c>
      <c r="B22" s="34" t="s">
        <v>26</v>
      </c>
      <c r="C22" s="35">
        <f>0.5+0.5+10.5+0.5+10.5+0.5</f>
        <v>23</v>
      </c>
      <c r="D22" s="24">
        <f>0+7.3+0.3+17.7+0.3+20.2</f>
        <v>45.8</v>
      </c>
      <c r="E22" s="2"/>
    </row>
    <row r="23" spans="1:5" ht="16.5" customHeight="1" thickBot="1" x14ac:dyDescent="0.3">
      <c r="A23" s="25" t="s">
        <v>27</v>
      </c>
      <c r="B23" s="36" t="s">
        <v>28</v>
      </c>
      <c r="C23" s="27">
        <f>23.2+23.2+23.2+23.2+23.2+23.2</f>
        <v>139.19999999999999</v>
      </c>
      <c r="D23" s="28">
        <f>23.2+23.2+23.2+23.2+23.2</f>
        <v>116</v>
      </c>
      <c r="E23" s="2"/>
    </row>
    <row r="24" spans="1:5" ht="30.75" customHeight="1" thickBot="1" x14ac:dyDescent="0.3">
      <c r="A24" s="29" t="s">
        <v>29</v>
      </c>
      <c r="B24" s="37" t="s">
        <v>30</v>
      </c>
      <c r="C24" s="31">
        <f>5+20+5+20+5+10</f>
        <v>65</v>
      </c>
      <c r="D24" s="32">
        <f>0.6+0+0+0+11.8+13.8</f>
        <v>26.200000000000003</v>
      </c>
      <c r="E24" s="2"/>
    </row>
    <row r="25" spans="1:5" ht="16.5" customHeight="1" thickBot="1" x14ac:dyDescent="0.3">
      <c r="A25" s="29" t="s">
        <v>31</v>
      </c>
      <c r="B25" s="30" t="s">
        <v>32</v>
      </c>
      <c r="C25" s="31">
        <f>C26+C27</f>
        <v>27.7</v>
      </c>
      <c r="D25" s="32">
        <f>D26+D27</f>
        <v>32</v>
      </c>
      <c r="E25" s="2"/>
    </row>
    <row r="26" spans="1:5" ht="16.5" customHeight="1" x14ac:dyDescent="0.25">
      <c r="A26" s="38" t="s">
        <v>33</v>
      </c>
      <c r="B26" s="39" t="s">
        <v>34</v>
      </c>
      <c r="C26" s="35">
        <f>2.8+2.7+3.2+2.4+2.6+2.3</f>
        <v>16</v>
      </c>
      <c r="D26" s="24">
        <f>2.8+7.8+3.7+0+1.6+4.5</f>
        <v>20.399999999999999</v>
      </c>
      <c r="E26" s="2"/>
    </row>
    <row r="27" spans="1:5" ht="16.5" customHeight="1" thickBot="1" x14ac:dyDescent="0.3">
      <c r="A27" s="25" t="s">
        <v>35</v>
      </c>
      <c r="B27" s="36" t="s">
        <v>36</v>
      </c>
      <c r="C27" s="27">
        <f>3+3+2.5+2+0.6+0.6</f>
        <v>11.7</v>
      </c>
      <c r="D27" s="28">
        <f>2.8+2.5+3.8+1.6+0.4+0.5</f>
        <v>11.6</v>
      </c>
      <c r="E27" s="2"/>
    </row>
    <row r="28" spans="1:5" ht="16.5" customHeight="1" thickBot="1" x14ac:dyDescent="0.3">
      <c r="A28" s="29" t="s">
        <v>37</v>
      </c>
      <c r="B28" s="30" t="s">
        <v>38</v>
      </c>
      <c r="C28" s="31">
        <f>0.3+0.3+0.3+0.3+0.3+0.3</f>
        <v>1.8</v>
      </c>
      <c r="D28" s="32">
        <f>0.3+0.3+0.3+0.3+0.3+0.3</f>
        <v>1.8</v>
      </c>
      <c r="E28" s="2"/>
    </row>
    <row r="29" spans="1:5" ht="16.5" customHeight="1" thickBot="1" x14ac:dyDescent="0.3">
      <c r="A29" s="29" t="s">
        <v>39</v>
      </c>
      <c r="B29" s="40" t="s">
        <v>40</v>
      </c>
      <c r="C29" s="41">
        <f>C30+C31+C32+C33</f>
        <v>11.2</v>
      </c>
      <c r="D29" s="32">
        <f>D30+D31+D32+D33</f>
        <v>8.4</v>
      </c>
      <c r="E29" s="2"/>
    </row>
    <row r="30" spans="1:5" ht="16.5" customHeight="1" x14ac:dyDescent="0.25">
      <c r="A30" s="42" t="s">
        <v>41</v>
      </c>
      <c r="B30" s="43" t="s">
        <v>42</v>
      </c>
      <c r="C30" s="35">
        <f>0.3+0.3+0.3+0.3+0.3+0.3</f>
        <v>1.8</v>
      </c>
      <c r="D30" s="24">
        <f>0.3+0.3+0.3+0.3+0.3+0.3</f>
        <v>1.8</v>
      </c>
      <c r="E30" s="2"/>
    </row>
    <row r="31" spans="1:5" ht="16.5" customHeight="1" x14ac:dyDescent="0.25">
      <c r="A31" s="21" t="s">
        <v>43</v>
      </c>
      <c r="B31" s="44" t="s">
        <v>44</v>
      </c>
      <c r="C31" s="23">
        <f>0.2+0.2+0.2+0.2+0.2+0.2</f>
        <v>1.2</v>
      </c>
      <c r="D31" s="24">
        <f>0.1+0.1+0.1+0.1+0.1+0.1</f>
        <v>0.6</v>
      </c>
      <c r="E31" s="2"/>
    </row>
    <row r="32" spans="1:5" ht="16.5" customHeight="1" x14ac:dyDescent="0.25">
      <c r="A32" s="21" t="s">
        <v>45</v>
      </c>
      <c r="B32" s="44" t="s">
        <v>46</v>
      </c>
      <c r="C32" s="23">
        <f>1.5+0.5+0+1+0+1</f>
        <v>4</v>
      </c>
      <c r="D32" s="24">
        <f>0+0+0+1+0.8</f>
        <v>1.8</v>
      </c>
      <c r="E32" s="2"/>
    </row>
    <row r="33" spans="1:5" ht="16.5" customHeight="1" thickBot="1" x14ac:dyDescent="0.3">
      <c r="A33" s="45" t="s">
        <v>47</v>
      </c>
      <c r="B33" s="46" t="s">
        <v>48</v>
      </c>
      <c r="C33" s="23">
        <f>3.4+0.8</f>
        <v>4.2</v>
      </c>
      <c r="D33" s="24">
        <f>3.4+0.8</f>
        <v>4.2</v>
      </c>
      <c r="E33" s="2"/>
    </row>
    <row r="34" spans="1:5" ht="16.5" customHeight="1" thickBot="1" x14ac:dyDescent="0.3">
      <c r="A34" s="29" t="s">
        <v>49</v>
      </c>
      <c r="B34" s="47" t="s">
        <v>50</v>
      </c>
      <c r="C34" s="31">
        <f>C35+C36+C37+C38+C39</f>
        <v>91.2</v>
      </c>
      <c r="D34" s="32">
        <f>D35+D36+D37+D38+D39</f>
        <v>57.899999999999991</v>
      </c>
      <c r="E34" s="2"/>
    </row>
    <row r="35" spans="1:5" ht="50.25" customHeight="1" x14ac:dyDescent="0.25">
      <c r="A35" s="48" t="s">
        <v>51</v>
      </c>
      <c r="B35" s="43" t="s">
        <v>52</v>
      </c>
      <c r="C35" s="35">
        <f>0.7+0.7+0.7+0.8+0.8+0.8</f>
        <v>4.4999999999999991</v>
      </c>
      <c r="D35" s="24">
        <f>0.8+0.8+0.8+0.8+0.8+0.8</f>
        <v>4.8</v>
      </c>
      <c r="E35" s="2"/>
    </row>
    <row r="36" spans="1:5" ht="16.5" customHeight="1" x14ac:dyDescent="0.25">
      <c r="A36" s="21" t="s">
        <v>53</v>
      </c>
      <c r="B36" s="44" t="s">
        <v>54</v>
      </c>
      <c r="C36" s="23">
        <f>0.2+0.2+0.2+0.2+0.2+0.2</f>
        <v>1.2</v>
      </c>
      <c r="D36" s="24">
        <v>0</v>
      </c>
      <c r="E36" s="2"/>
    </row>
    <row r="37" spans="1:5" ht="16.5" customHeight="1" x14ac:dyDescent="0.25">
      <c r="A37" s="21" t="s">
        <v>55</v>
      </c>
      <c r="B37" s="44" t="s">
        <v>56</v>
      </c>
      <c r="C37" s="23">
        <f>22+10+10+8+8+8</f>
        <v>66</v>
      </c>
      <c r="D37" s="24">
        <f>21.6+11.7+0.9+0.3+0.6+0.9</f>
        <v>35.999999999999993</v>
      </c>
      <c r="E37" s="2"/>
    </row>
    <row r="38" spans="1:5" ht="16.5" customHeight="1" x14ac:dyDescent="0.25">
      <c r="A38" s="45" t="s">
        <v>57</v>
      </c>
      <c r="B38" s="44" t="s">
        <v>58</v>
      </c>
      <c r="C38" s="23">
        <v>0</v>
      </c>
      <c r="D38" s="24">
        <f>0+0+0+0+0</f>
        <v>0</v>
      </c>
      <c r="E38" s="2"/>
    </row>
    <row r="39" spans="1:5" ht="16.5" customHeight="1" thickBot="1" x14ac:dyDescent="0.3">
      <c r="A39" s="25" t="s">
        <v>59</v>
      </c>
      <c r="B39" s="49" t="s">
        <v>60</v>
      </c>
      <c r="C39" s="23">
        <f>1+1+3+7+7+0.5</f>
        <v>19.5</v>
      </c>
      <c r="D39" s="24">
        <f>3+0.7+6.7+6.7</f>
        <v>17.100000000000001</v>
      </c>
      <c r="E39" s="2"/>
    </row>
    <row r="40" spans="1:5" ht="16.5" customHeight="1" thickBot="1" x14ac:dyDescent="0.3">
      <c r="A40" s="50" t="s">
        <v>61</v>
      </c>
      <c r="B40" s="51" t="s">
        <v>62</v>
      </c>
      <c r="C40" s="52">
        <f>SUM(C7-C15)</f>
        <v>203.39999999999941</v>
      </c>
      <c r="D40" s="53">
        <f>SUM(D7-D15)</f>
        <v>226.09999999999991</v>
      </c>
      <c r="E40" s="2"/>
    </row>
    <row r="41" spans="1:5" x14ac:dyDescent="0.25">
      <c r="A41" s="54">
        <v>4</v>
      </c>
      <c r="B41" s="39" t="s">
        <v>63</v>
      </c>
      <c r="C41" s="35"/>
      <c r="D41" s="24"/>
      <c r="E41" s="2"/>
    </row>
    <row r="42" spans="1:5" x14ac:dyDescent="0.25">
      <c r="A42" s="55">
        <v>5</v>
      </c>
      <c r="B42" s="22" t="s">
        <v>64</v>
      </c>
      <c r="C42" s="23"/>
      <c r="D42" s="56"/>
      <c r="E42" s="2"/>
    </row>
    <row r="43" spans="1:5" x14ac:dyDescent="0.25">
      <c r="A43" s="55">
        <v>6</v>
      </c>
      <c r="B43" s="22" t="s">
        <v>65</v>
      </c>
      <c r="C43" s="23">
        <v>18</v>
      </c>
      <c r="D43" s="56">
        <v>14.4</v>
      </c>
      <c r="E43" s="2"/>
    </row>
    <row r="44" spans="1:5" x14ac:dyDescent="0.25">
      <c r="A44" s="57">
        <v>7</v>
      </c>
      <c r="B44" s="58" t="s">
        <v>66</v>
      </c>
      <c r="C44" s="23">
        <f>60+10</f>
        <v>70</v>
      </c>
      <c r="D44" s="56">
        <f>17.4+18.6</f>
        <v>36</v>
      </c>
      <c r="E44" s="2"/>
    </row>
    <row r="45" spans="1:5" ht="16.5" customHeight="1" thickBot="1" x14ac:dyDescent="0.3">
      <c r="A45" s="59"/>
      <c r="B45" s="60" t="s">
        <v>67</v>
      </c>
      <c r="C45" s="61"/>
      <c r="D45" s="62"/>
      <c r="E45" s="2"/>
    </row>
    <row r="46" spans="1:5" ht="18" customHeight="1" x14ac:dyDescent="0.25">
      <c r="A46" s="63"/>
      <c r="B46" s="64"/>
      <c r="C46" s="65"/>
      <c r="D46" s="65"/>
      <c r="E46" s="2"/>
    </row>
    <row r="47" spans="1:5" x14ac:dyDescent="0.25">
      <c r="E47" s="67"/>
    </row>
    <row r="48" spans="1:5" x14ac:dyDescent="0.25">
      <c r="E48" s="67"/>
    </row>
    <row r="49" spans="5:5" x14ac:dyDescent="0.25">
      <c r="E49" s="67"/>
    </row>
  </sheetData>
  <mergeCells count="7">
    <mergeCell ref="C3:D3"/>
    <mergeCell ref="C4:C6"/>
    <mergeCell ref="D4:D6"/>
    <mergeCell ref="A44:A45"/>
    <mergeCell ref="A1:D1"/>
    <mergeCell ref="A3:A6"/>
    <mergeCell ref="B3:B6"/>
  </mergeCells>
  <pageMargins left="1" right="1" top="1" bottom="1" header="0.5" footer="0.5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вик.плану (додаток 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Кабзар Нач</dc:creator>
  <cp:lastModifiedBy>Кабзар Нач</cp:lastModifiedBy>
  <dcterms:created xsi:type="dcterms:W3CDTF">2023-08-03T06:53:23Z</dcterms:created>
  <dcterms:modified xsi:type="dcterms:W3CDTF">2023-08-03T06:58:30Z</dcterms:modified>
</cp:coreProperties>
</file>